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<sst xmlns="http://schemas.openxmlformats.org/spreadsheetml/2006/main" count="1635" uniqueCount="1203">
  <si>
    <t>000  0709  0000000  000  310</t>
  </si>
  <si>
    <t>000  0700  0000000  000  220</t>
  </si>
  <si>
    <t>000  0309  0000000  000  310</t>
  </si>
  <si>
    <t>000  0300  0000000  000  220</t>
  </si>
  <si>
    <t>500,43</t>
  </si>
  <si>
    <t>6,103</t>
  </si>
  <si>
    <t>4,7</t>
  </si>
  <si>
    <t>ВСЕГО по Новохоперскому району</t>
  </si>
  <si>
    <t>000  0409  0000000  000  300</t>
  </si>
  <si>
    <t>5,208</t>
  </si>
  <si>
    <t>000  0900  0000000  000  200</t>
  </si>
  <si>
    <t>000  0500  0000000  000  200</t>
  </si>
  <si>
    <t>000  0100  0000000  000  200</t>
  </si>
  <si>
    <t>10,122</t>
  </si>
  <si>
    <t>10,89</t>
  </si>
  <si>
    <t>5,1</t>
  </si>
  <si>
    <t>000  0702  0000000  000  225</t>
  </si>
  <si>
    <t>000  0412  0000000  000  251</t>
  </si>
  <si>
    <t>000  0200  0000000  000  210</t>
  </si>
  <si>
    <t>12,29</t>
  </si>
  <si>
    <t>16  16 Муниципальные районы Исполнено</t>
  </si>
  <si>
    <t>начисление на оплату труда</t>
  </si>
  <si>
    <t>6,10</t>
  </si>
  <si>
    <t>4,328</t>
  </si>
  <si>
    <t>3,115</t>
  </si>
  <si>
    <t>000  1100  0000000  000  251</t>
  </si>
  <si>
    <t>10,87</t>
  </si>
  <si>
    <t>8,328</t>
  </si>
  <si>
    <t>за счет средств местных бюджетов</t>
  </si>
  <si>
    <t>000  0900  0000000  000  240</t>
  </si>
  <si>
    <t>000  0801  0000000  000  220</t>
  </si>
  <si>
    <t>000  0500  0000000  000  240</t>
  </si>
  <si>
    <t>8,56</t>
  </si>
  <si>
    <t>7,29</t>
  </si>
  <si>
    <t>4,383</t>
  </si>
  <si>
    <t>000 500 024</t>
  </si>
  <si>
    <t>9,21</t>
  </si>
  <si>
    <t>4,9</t>
  </si>
  <si>
    <t>000  0310  0000000  000  221</t>
  </si>
  <si>
    <t>2,4</t>
  </si>
  <si>
    <t>500,26</t>
  </si>
  <si>
    <t>5,179</t>
  </si>
  <si>
    <t>000 500 001</t>
  </si>
  <si>
    <t>000  0603  0000000  000  220</t>
  </si>
  <si>
    <t>000  0405  0000000  000  211</t>
  </si>
  <si>
    <t>000  0203  0000000  000  220</t>
  </si>
  <si>
    <t>12,195</t>
  </si>
  <si>
    <t>3,2</t>
  </si>
  <si>
    <t>Остатки на начало отчетного периода</t>
  </si>
  <si>
    <t>500,2</t>
  </si>
  <si>
    <t>8,343</t>
  </si>
  <si>
    <t>8,73</t>
  </si>
  <si>
    <t>000  0502  0000000  000  220</t>
  </si>
  <si>
    <t>12,42</t>
  </si>
  <si>
    <t>8,98</t>
  </si>
  <si>
    <t>6,126</t>
  </si>
  <si>
    <t>4,30</t>
  </si>
  <si>
    <t>000 500 041</t>
  </si>
  <si>
    <t>000  0702  0000000  000  200</t>
  </si>
  <si>
    <t>500,28</t>
  </si>
  <si>
    <t>9,44</t>
  </si>
  <si>
    <t>5,177</t>
  </si>
  <si>
    <t>3,33</t>
  </si>
  <si>
    <t>2,464</t>
  </si>
  <si>
    <t>Защита населения и территории от чрезвычайных ситуаций природного и техногенного характера, гражданская оборона</t>
  </si>
  <si>
    <t>000  1403  0000000  000  251</t>
  </si>
  <si>
    <t>000  0500  0000000  000  225</t>
  </si>
  <si>
    <t>000  0100  0000000  000  225</t>
  </si>
  <si>
    <t>10,107</t>
  </si>
  <si>
    <t>8,33</t>
  </si>
  <si>
    <t>3,134</t>
  </si>
  <si>
    <t>000  0800  0000000  000  251</t>
  </si>
  <si>
    <t>000  0707  0000000  000  200</t>
  </si>
  <si>
    <t>000  0400  0000000  000  251</t>
  </si>
  <si>
    <t>000  0310  0000000  000  225</t>
  </si>
  <si>
    <t>8,39</t>
  </si>
  <si>
    <t>000  1101  0000000  000  220</t>
  </si>
  <si>
    <t>000  1000  0000000  000  240</t>
  </si>
  <si>
    <t>000  0104  0000000  000  290</t>
  </si>
  <si>
    <t>500,6</t>
  </si>
  <si>
    <t>8,77</t>
  </si>
  <si>
    <t>12  12 Консолидированный Исполнено</t>
  </si>
  <si>
    <t>000 500 005</t>
  </si>
  <si>
    <t>000  0701  0000000  000  211</t>
  </si>
  <si>
    <t>000  0203  0000000  000  224</t>
  </si>
  <si>
    <t>12,48</t>
  </si>
  <si>
    <t>5,441</t>
  </si>
  <si>
    <t>3,6</t>
  </si>
  <si>
    <t>11,1</t>
  </si>
  <si>
    <t>6,71</t>
  </si>
  <si>
    <t>3,8</t>
  </si>
  <si>
    <t>000  0800  0000000  000  211</t>
  </si>
  <si>
    <t>8,79</t>
  </si>
  <si>
    <t>уплата разного рода платежей, сборов, государственных пошлин, лицензий</t>
  </si>
  <si>
    <t>000  0502  0000000  000  224</t>
  </si>
  <si>
    <t>000  0400  0000000  000  211</t>
  </si>
  <si>
    <t>000  1401  0000000  000  250</t>
  </si>
  <si>
    <t>Молодежная политика и оздоровление детей</t>
  </si>
  <si>
    <t>2,248</t>
  </si>
  <si>
    <t>500,8</t>
  </si>
  <si>
    <t>Национальная безопасность и правоохранительная деятельность</t>
  </si>
  <si>
    <t>000  1400  0000000  000  200</t>
  </si>
  <si>
    <t>000  1000  0000000  000  200</t>
  </si>
  <si>
    <t>000  0100  0000000  000  221</t>
  </si>
  <si>
    <t>10,7</t>
  </si>
  <si>
    <t>9,173</t>
  </si>
  <si>
    <t>8,37</t>
  </si>
  <si>
    <t>2,485</t>
  </si>
  <si>
    <t>000 500 045</t>
  </si>
  <si>
    <t>000  0701  0000000  000  251</t>
  </si>
  <si>
    <t>000  0113  0000000  000  210</t>
  </si>
  <si>
    <t>9,40</t>
  </si>
  <si>
    <t>2,460</t>
  </si>
  <si>
    <t>2,112</t>
  </si>
  <si>
    <t>Расходы</t>
  </si>
  <si>
    <t>000  0709  0000000  000  000</t>
  </si>
  <si>
    <t>000  0309  0000000  000  000</t>
  </si>
  <si>
    <t>000  0804  0000000  000  220</t>
  </si>
  <si>
    <t>500,47</t>
  </si>
  <si>
    <t>12,63</t>
  </si>
  <si>
    <t>6,107</t>
  </si>
  <si>
    <t>6,54</t>
  </si>
  <si>
    <t>5,344</t>
  </si>
  <si>
    <t>4,3</t>
  </si>
  <si>
    <t>000  1105  0000000  000  251</t>
  </si>
  <si>
    <t>000  0702  0000000  000  221</t>
  </si>
  <si>
    <t>000  0104  0000000  000  210</t>
  </si>
  <si>
    <t>12,205</t>
  </si>
  <si>
    <t>9,65</t>
  </si>
  <si>
    <t>4,322</t>
  </si>
  <si>
    <t>3,12</t>
  </si>
  <si>
    <t>Пособия по социальной помощи населению</t>
  </si>
  <si>
    <t>000  0503  0000000  000  251</t>
  </si>
  <si>
    <t>000  0309  0000000  000  212</t>
  </si>
  <si>
    <t>000  0204  0000000  000  200</t>
  </si>
  <si>
    <t>8,322</t>
  </si>
  <si>
    <t>8,12</t>
  </si>
  <si>
    <t>5,28</t>
  </si>
  <si>
    <t>5,5</t>
  </si>
  <si>
    <t>Резервные фонды</t>
  </si>
  <si>
    <t>000  0902  0000000  000  241</t>
  </si>
  <si>
    <t>000  0310  0000000  000  200</t>
  </si>
  <si>
    <t>000  0505  0000000  000  200</t>
  </si>
  <si>
    <t>3,111</t>
  </si>
  <si>
    <t>Начисления на выплаты по оплате труда</t>
  </si>
  <si>
    <t>500,49</t>
  </si>
  <si>
    <t>15,20</t>
  </si>
  <si>
    <t>4,362</t>
  </si>
  <si>
    <t>000  0103  0000000  000  211</t>
  </si>
  <si>
    <t>Безвозмездные перечисления организациям</t>
  </si>
  <si>
    <t>000  0113  0000000  000  310</t>
  </si>
  <si>
    <t>10,317</t>
  </si>
  <si>
    <t>000  1004  0000000  000  000</t>
  </si>
  <si>
    <t>11,7</t>
  </si>
  <si>
    <t>6,77</t>
  </si>
  <si>
    <t>000 500 043</t>
  </si>
  <si>
    <t>000  0707  0000000  000  340</t>
  </si>
  <si>
    <t>2,466</t>
  </si>
  <si>
    <t>2,114</t>
  </si>
  <si>
    <t>10,1</t>
  </si>
  <si>
    <t>2,8</t>
  </si>
  <si>
    <t>2,6</t>
  </si>
  <si>
    <t>17  17 Городские и сельские поселения Исполнено</t>
  </si>
  <si>
    <t>7  7 Муниципальные районы План на год</t>
  </si>
  <si>
    <t>в т.ч. за счет федеральных и областных средств</t>
  </si>
  <si>
    <t>Другие вопросы в области национальной безопасности и правоохранительной деятельности</t>
  </si>
  <si>
    <t>500,24</t>
  </si>
  <si>
    <t>9,48</t>
  </si>
  <si>
    <t>8,247</t>
  </si>
  <si>
    <t>6,37</t>
  </si>
  <si>
    <t>5,327</t>
  </si>
  <si>
    <t>2,468</t>
  </si>
  <si>
    <t>000 500 003</t>
  </si>
  <si>
    <t>000  0707  0000000  000  300</t>
  </si>
  <si>
    <t>000  0405  0000000  000  213</t>
  </si>
  <si>
    <t>000  0203  0000000  000  222</t>
  </si>
  <si>
    <t>2,154</t>
  </si>
  <si>
    <t>000  1101  0000000  000  226</t>
  </si>
  <si>
    <t>8,71</t>
  </si>
  <si>
    <t>в т.ч. продукты питания</t>
  </si>
  <si>
    <t>11,212</t>
  </si>
  <si>
    <t>6,12</t>
  </si>
  <si>
    <t>3,117</t>
  </si>
  <si>
    <t>мягкий инвентарь</t>
  </si>
  <si>
    <t>11,106</t>
  </si>
  <si>
    <t>11,17</t>
  </si>
  <si>
    <t>5,20</t>
  </si>
  <si>
    <t>000  0801  0000000  000  222</t>
  </si>
  <si>
    <t>000  0505  0000000  000  300</t>
  </si>
  <si>
    <t>000  0501  0000000  000  000</t>
  </si>
  <si>
    <t>000  1000  0000000  000  263</t>
  </si>
  <si>
    <t>000  0500  0000000  000  242</t>
  </si>
  <si>
    <t>000  0900  0000000  000  242</t>
  </si>
  <si>
    <t>4,502</t>
  </si>
  <si>
    <t>5,204</t>
  </si>
  <si>
    <t>11,59</t>
  </si>
  <si>
    <t>000  0901  0000000  000  000</t>
  </si>
  <si>
    <t>000 500 026</t>
  </si>
  <si>
    <t>000  0605  0000000  000  310</t>
  </si>
  <si>
    <t>000  0314  0000000  000  000</t>
  </si>
  <si>
    <t>000  0310  0000000  000  300</t>
  </si>
  <si>
    <t>4,19</t>
  </si>
  <si>
    <t>2,171</t>
  </si>
  <si>
    <t>500,41</t>
  </si>
  <si>
    <t>4,17</t>
  </si>
  <si>
    <t>6,52</t>
  </si>
  <si>
    <t>000  0600  0000000  000  000</t>
  </si>
  <si>
    <t>000  0200  0000000  000  000</t>
  </si>
  <si>
    <t>000  0804  0000000  000  226</t>
  </si>
  <si>
    <t>000  0700  0000000  000  222</t>
  </si>
  <si>
    <t>000  0300  0000000  000  222</t>
  </si>
  <si>
    <t>000 500 028</t>
  </si>
  <si>
    <t>4,5</t>
  </si>
  <si>
    <t>000  1102  0000000  000  310</t>
  </si>
  <si>
    <t>12,65</t>
  </si>
  <si>
    <t>000  0104  0000000  000  310</t>
  </si>
  <si>
    <t>10,332</t>
  </si>
  <si>
    <t>11,19</t>
  </si>
  <si>
    <t>8,324</t>
  </si>
  <si>
    <t>5,3</t>
  </si>
  <si>
    <t>2,388</t>
  </si>
  <si>
    <t>Пенсии, пособия, выплачиваемые организациями сектора государственного управления</t>
  </si>
  <si>
    <t>000  0310  0000000  000  340</t>
  </si>
  <si>
    <t>9,63</t>
  </si>
  <si>
    <t>5,422</t>
  </si>
  <si>
    <t>4,324</t>
  </si>
  <si>
    <t>11,13</t>
  </si>
  <si>
    <t>Заработная плата</t>
  </si>
  <si>
    <t>000  0500  0000000  000  340</t>
  </si>
  <si>
    <t>000  0100  0000000  000  340</t>
  </si>
  <si>
    <t>12,21</t>
  </si>
  <si>
    <t>8,266</t>
  </si>
  <si>
    <t>3,113</t>
  </si>
  <si>
    <t>горюче-смазочные материалы</t>
  </si>
  <si>
    <t>№ листа / № строки</t>
  </si>
  <si>
    <t>000  0801  0000000  000  226</t>
  </si>
  <si>
    <t>000  0605  0000000  000  000</t>
  </si>
  <si>
    <t>000  0314  0000000  000  310</t>
  </si>
  <si>
    <t>000  0103  0000000  000  213</t>
  </si>
  <si>
    <t>000  1102  0000000  000  000</t>
  </si>
  <si>
    <t>000  0600  0000000  000  310</t>
  </si>
  <si>
    <t>000  0200  0000000  000  310</t>
  </si>
  <si>
    <t>11,142</t>
  </si>
  <si>
    <t>2,29</t>
  </si>
  <si>
    <t>500,45</t>
  </si>
  <si>
    <t>в т.ч. уплата налогов и сборов в бюджеты всех уровней</t>
  </si>
  <si>
    <t>4,13</t>
  </si>
  <si>
    <t>9,29</t>
  </si>
  <si>
    <t>000  0904  0000000  000  000</t>
  </si>
  <si>
    <t>000  0100  0000000  000  300</t>
  </si>
  <si>
    <t>000  0900  0000000  000  300</t>
  </si>
  <si>
    <t>000  0104  0000000  000  000</t>
  </si>
  <si>
    <t>000  0300  0000000  000  226</t>
  </si>
  <si>
    <t>000  0700  0000000  000  226</t>
  </si>
  <si>
    <t>000  0500  0000000  000  300</t>
  </si>
  <si>
    <t>4,1</t>
  </si>
  <si>
    <t>3,153</t>
  </si>
  <si>
    <t>текущий ремонт и техническое обслуживание</t>
  </si>
  <si>
    <t>Безвозмездные перечисления бюджетам</t>
  </si>
  <si>
    <t>000  0702  0000000  000  223</t>
  </si>
  <si>
    <t>000  0409  0000000  000  200</t>
  </si>
  <si>
    <t>000  0104  0000000  000  212</t>
  </si>
  <si>
    <t>4,320</t>
  </si>
  <si>
    <t>3,10</t>
  </si>
  <si>
    <t>000  0709  0000000  000  210</t>
  </si>
  <si>
    <t>000  0309  0000000  000  210</t>
  </si>
  <si>
    <t>8,10</t>
  </si>
  <si>
    <t>5,7</t>
  </si>
  <si>
    <t>000 500 009</t>
  </si>
  <si>
    <t>000  0113  0000000  000  000</t>
  </si>
  <si>
    <t>Результат исполнения бюджета (дефицит "--", профицит "+")</t>
  </si>
  <si>
    <t>Жилищно-коммунальное хозяйство</t>
  </si>
  <si>
    <t>000  0800  0000000  000  213</t>
  </si>
  <si>
    <t>000  0702  0000000  000  300</t>
  </si>
  <si>
    <t>000  0502  0000000  000  226</t>
  </si>
  <si>
    <t>000  0400  0000000  000  213</t>
  </si>
  <si>
    <t>000  0500  0000000  000  223</t>
  </si>
  <si>
    <t>000  0100  0000000  000  223</t>
  </si>
  <si>
    <t>11,129</t>
  </si>
  <si>
    <t>000 500 047</t>
  </si>
  <si>
    <t>000  0409  0000000  000  225</t>
  </si>
  <si>
    <t>000  0113  0000000  000  212</t>
  </si>
  <si>
    <t>9,42</t>
  </si>
  <si>
    <t>3,138</t>
  </si>
  <si>
    <t>2,462</t>
  </si>
  <si>
    <t>2,110</t>
  </si>
  <si>
    <t>Оплата работ, услуг</t>
  </si>
  <si>
    <t>000 500 049</t>
  </si>
  <si>
    <t>500,20</t>
  </si>
  <si>
    <t>6,33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</si>
  <si>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</si>
  <si>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000  0702  0000000  000  340</t>
  </si>
  <si>
    <t>11,36</t>
  </si>
  <si>
    <t>2,489</t>
  </si>
  <si>
    <t>2,2</t>
  </si>
  <si>
    <t>10,141</t>
  </si>
  <si>
    <t>12,176</t>
  </si>
  <si>
    <t>8,75</t>
  </si>
  <si>
    <t>000  1001  0000000  000  000</t>
  </si>
  <si>
    <t>000  1000  0000000  000  242</t>
  </si>
  <si>
    <t>000  1401  0000000  000  000</t>
  </si>
  <si>
    <t>4,523</t>
  </si>
  <si>
    <t>8,345</t>
  </si>
  <si>
    <t>500,4</t>
  </si>
  <si>
    <t>000  0603  0000000  000  226</t>
  </si>
  <si>
    <t>8,90</t>
  </si>
  <si>
    <t>000  0709  0000000  000  290</t>
  </si>
  <si>
    <t>000  0203  0000000  000  226</t>
  </si>
  <si>
    <t>3,4</t>
  </si>
  <si>
    <t>000  0701  0000000  000  213</t>
  </si>
  <si>
    <t>2,150</t>
  </si>
  <si>
    <t>4,345</t>
  </si>
  <si>
    <t>7,106</t>
  </si>
  <si>
    <t>000  0901  0000000  000  240</t>
  </si>
  <si>
    <t>000  0800  0000000  000  220</t>
  </si>
  <si>
    <t>000  0501  0000000  000  240</t>
  </si>
  <si>
    <t>000  0409  0000000  000  310</t>
  </si>
  <si>
    <t>000  0400  0000000  000  220</t>
  </si>
  <si>
    <t>8,48</t>
  </si>
  <si>
    <t>Социальное обеспечение</t>
  </si>
  <si>
    <t>000  0909  0000000  000  226</t>
  </si>
  <si>
    <t>000  0709  0000000  000  300</t>
  </si>
  <si>
    <t>000  0314  0000000  000  240</t>
  </si>
  <si>
    <t>000  0309  0000000  000  300</t>
  </si>
  <si>
    <t>500,53</t>
  </si>
  <si>
    <t>000  0600  0000000  000  200</t>
  </si>
  <si>
    <t>000  0200  0000000  000  200</t>
  </si>
  <si>
    <t>000  0113  0000000  000  221</t>
  </si>
  <si>
    <t>000  0100  0000000  000  210</t>
  </si>
  <si>
    <t>15,91</t>
  </si>
  <si>
    <t>9,142</t>
  </si>
  <si>
    <t>Другие вопросы в области здравоохранения</t>
  </si>
  <si>
    <t>000  0901  0000000  000  200</t>
  </si>
  <si>
    <t>000  0501  0000000  000  200</t>
  </si>
  <si>
    <t>Безвозмездные перечисления государственным и муниципальным предприятиям (КОСГУ 241)</t>
  </si>
  <si>
    <t>Медицинская помощь в дневных стационарах всех типов</t>
  </si>
  <si>
    <t>000  0709  0000000  000  340</t>
  </si>
  <si>
    <t>000  0314  0000000  000  200</t>
  </si>
  <si>
    <t>000  0309  0000000  000  340</t>
  </si>
  <si>
    <t>500,13</t>
  </si>
  <si>
    <t>12,37</t>
  </si>
  <si>
    <t>10,72</t>
  </si>
  <si>
    <t>000  0701  0000000  000  220</t>
  </si>
  <si>
    <t>Прочие выплаты</t>
  </si>
  <si>
    <t>000  0702  0000000  000  290</t>
  </si>
  <si>
    <t>000  0500  0000000  000  250</t>
  </si>
  <si>
    <t>2,31</t>
  </si>
  <si>
    <t>000  0804  0000000  000  251</t>
  </si>
  <si>
    <t>000  0314  0000000  000  225</t>
  </si>
  <si>
    <t>8,5</t>
  </si>
  <si>
    <t>6,176</t>
  </si>
  <si>
    <t>2,108</t>
  </si>
  <si>
    <t>000  1402  0000000  000  251</t>
  </si>
  <si>
    <t>000  0501  0000000  000  225</t>
  </si>
  <si>
    <t>11,131</t>
  </si>
  <si>
    <t>10,345</t>
  </si>
  <si>
    <t>9,169</t>
  </si>
  <si>
    <t>000  0503  0000000  000  220</t>
  </si>
  <si>
    <t>000  0103  0000000  000  220</t>
  </si>
  <si>
    <t>10,157</t>
  </si>
  <si>
    <t>9,3</t>
  </si>
  <si>
    <t>8,63</t>
  </si>
  <si>
    <t>7,204</t>
  </si>
  <si>
    <t>2,14</t>
  </si>
  <si>
    <t>Безвозмездные перечисления организациям, за исключением государственных и муниципальных организаций</t>
  </si>
  <si>
    <t>000  1105  0000000  000  220</t>
  </si>
  <si>
    <t>000  0100  0000000  000  290</t>
  </si>
  <si>
    <t>000 500 011</t>
  </si>
  <si>
    <t>4  4 Суммы, подлежащие исключению Консолид. План на год</t>
  </si>
  <si>
    <t>000  0702  0000000  000  250</t>
  </si>
  <si>
    <t>2,146</t>
  </si>
  <si>
    <t>4,353</t>
  </si>
  <si>
    <t>6,138</t>
  </si>
  <si>
    <t>10,19</t>
  </si>
  <si>
    <t>000  0804  0000000  000  211</t>
  </si>
  <si>
    <t>10,17</t>
  </si>
  <si>
    <t>2,148</t>
  </si>
  <si>
    <t>12,1</t>
  </si>
  <si>
    <t>000  0709  0000000  000  223</t>
  </si>
  <si>
    <t>5,182</t>
  </si>
  <si>
    <t>000  1004  0000000  000  200</t>
  </si>
  <si>
    <t>000  0702  0000000  000  210</t>
  </si>
  <si>
    <t>000  0200  0000000  000  225</t>
  </si>
  <si>
    <t>000  0104  0000000  000  221</t>
  </si>
  <si>
    <t>500,38</t>
  </si>
  <si>
    <t>000  1401  0000000  000  200</t>
  </si>
  <si>
    <t>000  1001  0000000  000  200</t>
  </si>
  <si>
    <t>000  0707  0000000  000  210</t>
  </si>
  <si>
    <t>11,24</t>
  </si>
  <si>
    <t>8,319</t>
  </si>
  <si>
    <t>8,29</t>
  </si>
  <si>
    <t>5,188</t>
  </si>
  <si>
    <t>5,13</t>
  </si>
  <si>
    <t>000  0700  0000000  000  251</t>
  </si>
  <si>
    <t>500,32</t>
  </si>
  <si>
    <t>10,53</t>
  </si>
  <si>
    <t>8,1</t>
  </si>
  <si>
    <t>6,21</t>
  </si>
  <si>
    <t>4,319</t>
  </si>
  <si>
    <t>3,29</t>
  </si>
  <si>
    <t>000 500 015</t>
  </si>
  <si>
    <t>000  0412  0000000  000  220</t>
  </si>
  <si>
    <t>9,10</t>
  </si>
  <si>
    <t>8,82</t>
  </si>
  <si>
    <t>4,357</t>
  </si>
  <si>
    <t>2,142</t>
  </si>
  <si>
    <t>8  8 Городские и сельские поселения План на год</t>
  </si>
  <si>
    <t>Образование</t>
  </si>
  <si>
    <t>000  1400  0000000  000  250</t>
  </si>
  <si>
    <t>000  0801  0000000  000  211</t>
  </si>
  <si>
    <t>000  0503  0000000  000  224</t>
  </si>
  <si>
    <t>9,7</t>
  </si>
  <si>
    <t>2,10</t>
  </si>
  <si>
    <t>Социальное обеспечение населения</t>
  </si>
  <si>
    <t>000  1100  0000000  000  220</t>
  </si>
  <si>
    <t>000  0707  0000000  000  250</t>
  </si>
  <si>
    <t>9,9</t>
  </si>
  <si>
    <t>4,492</t>
  </si>
  <si>
    <t>000  0700  0000000  000  211</t>
  </si>
  <si>
    <t>000  0300  0000000  000  211</t>
  </si>
  <si>
    <t>10,13</t>
  </si>
  <si>
    <t>000 500 055</t>
  </si>
  <si>
    <t>000  0200  0000000  000  221</t>
  </si>
  <si>
    <t>000  0113  0000000  000  200</t>
  </si>
  <si>
    <t>000  0104  0000000  000  225</t>
  </si>
  <si>
    <t>15,55</t>
  </si>
  <si>
    <t>4,317</t>
  </si>
  <si>
    <t>000  0801  0000000  000  251</t>
  </si>
  <si>
    <t>8,317</t>
  </si>
  <si>
    <t>Иные дотации</t>
  </si>
  <si>
    <t>000  0505  0000000  000  250</t>
  </si>
  <si>
    <t>000  0409  0000000  000  000</t>
  </si>
  <si>
    <t>10,36</t>
  </si>
  <si>
    <t>6,117</t>
  </si>
  <si>
    <t>3,141</t>
  </si>
  <si>
    <t>2,169</t>
  </si>
  <si>
    <t>Коммунальное хозяйство</t>
  </si>
  <si>
    <t>7,7</t>
  </si>
  <si>
    <t>000  1003  0000000  000  260</t>
  </si>
  <si>
    <t>000  0903  0000000  000  241</t>
  </si>
  <si>
    <t>9,146</t>
  </si>
  <si>
    <t>000  0904  0000000  000  200</t>
  </si>
  <si>
    <t>000  0113  0000000  000  225</t>
  </si>
  <si>
    <t>000  0104  0000000  000  200</t>
  </si>
  <si>
    <t>500,19</t>
  </si>
  <si>
    <t>6,1</t>
  </si>
  <si>
    <t>Охрана окружающей среды</t>
  </si>
  <si>
    <t>500,17</t>
  </si>
  <si>
    <t>8,274</t>
  </si>
  <si>
    <t>000  0310  0000000  000  210</t>
  </si>
  <si>
    <t>9,148</t>
  </si>
  <si>
    <t>8,42</t>
  </si>
  <si>
    <t>из них расходы на заработную плату и начисления работникам учреждений, осуществляемые за счет средств субсидий, предоставляемых бюджетным и автономным учреждениям</t>
  </si>
  <si>
    <t>000 500 030</t>
  </si>
  <si>
    <t>000  0904  0000000  000  240</t>
  </si>
  <si>
    <t>000  0405  0000000  000  220</t>
  </si>
  <si>
    <t>000  0203  0000000  000  211</t>
  </si>
  <si>
    <t>000  0804  0000000  000  213</t>
  </si>
  <si>
    <t>000  0702  0000000  000  000</t>
  </si>
  <si>
    <t>6,134</t>
  </si>
  <si>
    <t>000  1100  0000000  000  226</t>
  </si>
  <si>
    <t>000  0113  0000000  000  300</t>
  </si>
  <si>
    <t>11,62</t>
  </si>
  <si>
    <t>8,103</t>
  </si>
  <si>
    <t>6,82</t>
  </si>
  <si>
    <t>в том числе оплата труда</t>
  </si>
  <si>
    <t>000  0709  0000000  000  221</t>
  </si>
  <si>
    <t>8,21</t>
  </si>
  <si>
    <t>5,180</t>
  </si>
  <si>
    <t>прочие услуги</t>
  </si>
  <si>
    <t>000 500 053</t>
  </si>
  <si>
    <t>000  0702  0000000  000  212</t>
  </si>
  <si>
    <t>000  0104  0000000  000  223</t>
  </si>
  <si>
    <t>11,229</t>
  </si>
  <si>
    <t>9,56</t>
  </si>
  <si>
    <t>8,9</t>
  </si>
  <si>
    <t>6,29</t>
  </si>
  <si>
    <t>Жилищное хозяйство</t>
  </si>
  <si>
    <t>000  0909  0000000  000  241</t>
  </si>
  <si>
    <t>11,227</t>
  </si>
  <si>
    <t>8,7</t>
  </si>
  <si>
    <t>000  0113  0000000  000  340</t>
  </si>
  <si>
    <t>в т.ч. оплата труда</t>
  </si>
  <si>
    <t>000  0503  0000000  000  222</t>
  </si>
  <si>
    <t>9,1</t>
  </si>
  <si>
    <t>000 500 013</t>
  </si>
  <si>
    <t>000  0412  0000000  000  226</t>
  </si>
  <si>
    <t>7,112</t>
  </si>
  <si>
    <t>4,351</t>
  </si>
  <si>
    <t>2,144</t>
  </si>
  <si>
    <t>____________________</t>
  </si>
  <si>
    <t>000  0104  0000000  000  340</t>
  </si>
  <si>
    <t>5,30</t>
  </si>
  <si>
    <t>Общее образование</t>
  </si>
  <si>
    <t>Мобилизационная и вневойсковая подготовка</t>
  </si>
  <si>
    <t>500,11</t>
  </si>
  <si>
    <t>6,9</t>
  </si>
  <si>
    <t>3,107</t>
  </si>
  <si>
    <t>Национальная экономика</t>
  </si>
  <si>
    <t>000  0701  0000000  000  222</t>
  </si>
  <si>
    <t>000  0605  0000000  000  300</t>
  </si>
  <si>
    <t>000  0405  0000000  000  226</t>
  </si>
  <si>
    <t>000  0310  0000000  000  310</t>
  </si>
  <si>
    <t>15,36</t>
  </si>
  <si>
    <t>9,33</t>
  </si>
  <si>
    <t>000  0505  0000000  000  310</t>
  </si>
  <si>
    <t>15,126</t>
  </si>
  <si>
    <t>8,44</t>
  </si>
  <si>
    <t>10,322</t>
  </si>
  <si>
    <t>000  0800  0000000  000  222</t>
  </si>
  <si>
    <t>000  0100  0000000  000  000</t>
  </si>
  <si>
    <t>000  0501  0000000  000  242</t>
  </si>
  <si>
    <t>000  0500  0000000  000  000</t>
  </si>
  <si>
    <t>000  1001  0000000  000  263</t>
  </si>
  <si>
    <t>000  0104  0000000  000  300</t>
  </si>
  <si>
    <t>000  0900  0000000  000  000</t>
  </si>
  <si>
    <t>7,1</t>
  </si>
  <si>
    <t>6,205</t>
  </si>
  <si>
    <t>000 500 038</t>
  </si>
  <si>
    <t>000  1102  0000000  000  300</t>
  </si>
  <si>
    <t>000  0314  0000000  000  242</t>
  </si>
  <si>
    <t>10,30</t>
  </si>
  <si>
    <t>6,42</t>
  </si>
  <si>
    <t>3,147</t>
  </si>
  <si>
    <t>000  0113  0000000  000  223</t>
  </si>
  <si>
    <t>6,7</t>
  </si>
  <si>
    <t>3,109</t>
  </si>
  <si>
    <t>000  0100  0000000  000  212</t>
  </si>
  <si>
    <t>500,15</t>
  </si>
  <si>
    <t>5,316</t>
  </si>
  <si>
    <t>2,459</t>
  </si>
  <si>
    <t>Транспортные услуги</t>
  </si>
  <si>
    <t>000  0200  0000000  000  340</t>
  </si>
  <si>
    <t>000  0314  0000000  000  300</t>
  </si>
  <si>
    <t>000  0310  0000000  000  000</t>
  </si>
  <si>
    <t>15,2</t>
  </si>
  <si>
    <t>10,328</t>
  </si>
  <si>
    <t>8,40</t>
  </si>
  <si>
    <t>000 500 032</t>
  </si>
  <si>
    <t>000  0701  0000000  000  226</t>
  </si>
  <si>
    <t>000  0505  0000000  000  000</t>
  </si>
  <si>
    <t>000  0203  0000000  000  213</t>
  </si>
  <si>
    <t>9,37</t>
  </si>
  <si>
    <t>6,48</t>
  </si>
  <si>
    <t>000  0909  0000000  000  220</t>
  </si>
  <si>
    <t>000  0900  0000000  000  310</t>
  </si>
  <si>
    <t>000  0500  0000000  000  310</t>
  </si>
  <si>
    <t>000  0100  0000000  000  310</t>
  </si>
  <si>
    <t>500,55</t>
  </si>
  <si>
    <t>12,71</t>
  </si>
  <si>
    <t>9,39</t>
  </si>
  <si>
    <t>6,115</t>
  </si>
  <si>
    <t>000  0800  0000000  000  226</t>
  </si>
  <si>
    <t>000  0600  0000000  000  300</t>
  </si>
  <si>
    <t>000  0400  0000000  000  226</t>
  </si>
  <si>
    <t>000  0204  0000000  000  000</t>
  </si>
  <si>
    <t>000  0200  0000000  000  300</t>
  </si>
  <si>
    <t>000  1003  0000000  000  262</t>
  </si>
  <si>
    <t>000  0709  0000000  000  200</t>
  </si>
  <si>
    <t>000  0314  0000000  000  340</t>
  </si>
  <si>
    <t>000  0309  0000000  000  200</t>
  </si>
  <si>
    <t>9,144</t>
  </si>
  <si>
    <t>15,72</t>
  </si>
  <si>
    <t>8,278</t>
  </si>
  <si>
    <t>2,457</t>
  </si>
  <si>
    <t>000  1400  0000000  000  000</t>
  </si>
  <si>
    <t>000  1000  0000000  000  000</t>
  </si>
  <si>
    <t>000  0702  0000000  000  310</t>
  </si>
  <si>
    <t>12,7</t>
  </si>
  <si>
    <t>000 500 019</t>
  </si>
  <si>
    <t>000  0700  0000000  000  213</t>
  </si>
  <si>
    <t>000  0300  0000000  000  213</t>
  </si>
  <si>
    <t>7,118</t>
  </si>
  <si>
    <t>000  0200  0000000  000  223</t>
  </si>
  <si>
    <t>000  0709  0000000  000  225</t>
  </si>
  <si>
    <t>9,161</t>
  </si>
  <si>
    <t>000  0707  0000000  000  212</t>
  </si>
  <si>
    <t>11,26</t>
  </si>
  <si>
    <t>6,195</t>
  </si>
  <si>
    <t>500,30</t>
  </si>
  <si>
    <t>8,3</t>
  </si>
  <si>
    <t>000 500 017</t>
  </si>
  <si>
    <t>000  1105  0000000  000  226</t>
  </si>
  <si>
    <t>9,12</t>
  </si>
  <si>
    <t>8,80</t>
  </si>
  <si>
    <t>15,107</t>
  </si>
  <si>
    <t>000  0801  0000000  000  213</t>
  </si>
  <si>
    <t>в т.ч. расходы на содержание учреждений, осуществляемые за счет средств субсидий, предоставляемых бюджетным и автономным учреждениям</t>
  </si>
  <si>
    <t>8,65</t>
  </si>
  <si>
    <t>000  0103  0000000  000  226</t>
  </si>
  <si>
    <t>000  0503  0000000  000  226</t>
  </si>
  <si>
    <t>000  0707  0000000  000  000</t>
  </si>
  <si>
    <t>3  3 Консолидированный  План на год</t>
  </si>
  <si>
    <t>9,5</t>
  </si>
  <si>
    <t>000  0909  0000000  000  310</t>
  </si>
  <si>
    <t>000  0900  0000000  000  220</t>
  </si>
  <si>
    <t>000  0500  0000000  000  220</t>
  </si>
  <si>
    <t>000  0100  0000000  000  220</t>
  </si>
  <si>
    <t>8,36</t>
  </si>
  <si>
    <t>6,188</t>
  </si>
  <si>
    <t>Ед. измерения: документа -  руб.</t>
  </si>
  <si>
    <t>9,41</t>
  </si>
  <si>
    <t>000  0103  0000000  000  290</t>
  </si>
  <si>
    <t>000  0409  0000000  000  226</t>
  </si>
  <si>
    <t>00000000000000000340</t>
  </si>
  <si>
    <t>000 500 044</t>
  </si>
  <si>
    <t>000  0113  0000000  000  211</t>
  </si>
  <si>
    <t>000  0701  0000000  000  250</t>
  </si>
  <si>
    <t>2,113</t>
  </si>
  <si>
    <t>2,461</t>
  </si>
  <si>
    <t>000  0700  0000000  000  200</t>
  </si>
  <si>
    <t>000  0300  0000000  000  200</t>
  </si>
  <si>
    <t>4,348</t>
  </si>
  <si>
    <t>3,9</t>
  </si>
  <si>
    <t>11,164</t>
  </si>
  <si>
    <t>000  0800  0000000  000  210</t>
  </si>
  <si>
    <t>8,78</t>
  </si>
  <si>
    <t>Скорая медицинская помощь</t>
  </si>
  <si>
    <t>000  0502  0000000  000  225</t>
  </si>
  <si>
    <t>000  0400  0000000  000  210</t>
  </si>
  <si>
    <t>000  1401  0000000  000  251</t>
  </si>
  <si>
    <t>8,348</t>
  </si>
  <si>
    <t>500,9</t>
  </si>
  <si>
    <t>000  0801  0000000  000  200</t>
  </si>
  <si>
    <t>500,7</t>
  </si>
  <si>
    <t>10,142</t>
  </si>
  <si>
    <t>8,76</t>
  </si>
  <si>
    <t>4,520</t>
  </si>
  <si>
    <t>2,247</t>
  </si>
  <si>
    <t>Межбюджетные трансферты бюджетам субъектов Российской Федерации и муниципальных образований</t>
  </si>
  <si>
    <t>000 500 004</t>
  </si>
  <si>
    <t>000  0701  0000000  000  210</t>
  </si>
  <si>
    <t>000  0203  0000000  000  225</t>
  </si>
  <si>
    <t>5,440</t>
  </si>
  <si>
    <t>3,7</t>
  </si>
  <si>
    <t>2,153</t>
  </si>
  <si>
    <t>Культура, кинематография</t>
  </si>
  <si>
    <t>Обеспечение пожарной безопасности</t>
  </si>
  <si>
    <t>Арендная плата за пользование имуществом</t>
  </si>
  <si>
    <t>Обеспечение проведения выборов и референдумов</t>
  </si>
  <si>
    <t>000  0300  0000000  000  240</t>
  </si>
  <si>
    <t>500,23</t>
  </si>
  <si>
    <t>6,30</t>
  </si>
  <si>
    <t>3,135</t>
  </si>
  <si>
    <t>Охрана семьи и детства</t>
  </si>
  <si>
    <t>000  0800  0000000  000  250</t>
  </si>
  <si>
    <t>000  0400  0000000  000  250</t>
  </si>
  <si>
    <t>8,38</t>
  </si>
  <si>
    <t>2,1</t>
  </si>
  <si>
    <t>000 500 021</t>
  </si>
  <si>
    <t>000  0603  0000000  000  200</t>
  </si>
  <si>
    <t>000  0203  0000000  000  200</t>
  </si>
  <si>
    <t>15,21</t>
  </si>
  <si>
    <t>10,29</t>
  </si>
  <si>
    <t>4,363</t>
  </si>
  <si>
    <t>000  0801  0000000  000  225</t>
  </si>
  <si>
    <t>000  0103  0000000  000  210</t>
  </si>
  <si>
    <t>5,203</t>
  </si>
  <si>
    <t>приобетение и модернизация оборудования</t>
  </si>
  <si>
    <t>000  0902  0000000  000  240</t>
  </si>
  <si>
    <t>Национальная оборона</t>
  </si>
  <si>
    <t>000  0800  0000000  000  290</t>
  </si>
  <si>
    <t>000  0400  0000000  000  290</t>
  </si>
  <si>
    <t>8,265</t>
  </si>
  <si>
    <t>000  1105  0000000  000  250</t>
  </si>
  <si>
    <t>000  0702  0000000  000  220</t>
  </si>
  <si>
    <t>000  0104  0000000  000  211</t>
  </si>
  <si>
    <t>12,204</t>
  </si>
  <si>
    <t>9,64</t>
  </si>
  <si>
    <t>3,13</t>
  </si>
  <si>
    <t>000  0709  0000000  000  213</t>
  </si>
  <si>
    <t>000  0701  0000000  000  290</t>
  </si>
  <si>
    <t>000  0503  0000000  000  250</t>
  </si>
  <si>
    <t>000  0309  0000000  000  213</t>
  </si>
  <si>
    <t>8,323</t>
  </si>
  <si>
    <t>8,13</t>
  </si>
  <si>
    <t>5,29</t>
  </si>
  <si>
    <t>5,4</t>
  </si>
  <si>
    <t>Оплата труда и начисления на оплату труда за счет доходов от оказания платных услуг</t>
  </si>
  <si>
    <t>000  0902  0000000  000  200</t>
  </si>
  <si>
    <t>000  0502  0000000  000  200</t>
  </si>
  <si>
    <t>11,141</t>
  </si>
  <si>
    <t>000  0804  0000000  000  221</t>
  </si>
  <si>
    <t>000  0700  0000000  000  225</t>
  </si>
  <si>
    <t>000  0300  0000000  000  225</t>
  </si>
  <si>
    <t>500,46</t>
  </si>
  <si>
    <t>6,106</t>
  </si>
  <si>
    <t>5,345</t>
  </si>
  <si>
    <t>4,2</t>
  </si>
  <si>
    <t>000  1101  0000000  000  200</t>
  </si>
  <si>
    <t>000  1000  0000000  000  260</t>
  </si>
  <si>
    <t>000  0900  0000000  000  241</t>
  </si>
  <si>
    <t>000  0801  0000000  000  221</t>
  </si>
  <si>
    <t>000 500 025</t>
  </si>
  <si>
    <t>000  0107  0000000  000  200</t>
  </si>
  <si>
    <t>16,1</t>
  </si>
  <si>
    <t>9,20</t>
  </si>
  <si>
    <t>4,8</t>
  </si>
  <si>
    <t>11,211</t>
  </si>
  <si>
    <t>6,11</t>
  </si>
  <si>
    <t>3,114</t>
  </si>
  <si>
    <t>000  1100  0000000  000  250</t>
  </si>
  <si>
    <t>000  0707  0000000  000  220</t>
  </si>
  <si>
    <t>000  0111  0000000  000  290</t>
  </si>
  <si>
    <t>000  1000  0000000  000  220</t>
  </si>
  <si>
    <t>000  0405  0000000  000  290</t>
  </si>
  <si>
    <t>10,123</t>
  </si>
  <si>
    <t>10,88</t>
  </si>
  <si>
    <t>9,153</t>
  </si>
  <si>
    <t>8,327</t>
  </si>
  <si>
    <t>Дотации на выравнивание бюджетной обеспеченности субъектов Российской Федерации и муниципальных образований</t>
  </si>
  <si>
    <t>000  0412  0000000  000  250</t>
  </si>
  <si>
    <t>000  0200  0000000  000  211</t>
  </si>
  <si>
    <t>12,28</t>
  </si>
  <si>
    <t>5,421</t>
  </si>
  <si>
    <t>000  0700  0000000  000  221</t>
  </si>
  <si>
    <t>000  0300  0000000  000  221</t>
  </si>
  <si>
    <t>500,42</t>
  </si>
  <si>
    <t>4,6</t>
  </si>
  <si>
    <t>Наименование показателя</t>
  </si>
  <si>
    <t>000 500 040</t>
  </si>
  <si>
    <t>000  0909  0000000  000  000</t>
  </si>
  <si>
    <t>500,29</t>
  </si>
  <si>
    <t>9,45</t>
  </si>
  <si>
    <t>5,176</t>
  </si>
  <si>
    <t>2,465</t>
  </si>
  <si>
    <t>000  1403  0000000  000  250</t>
  </si>
  <si>
    <t>000  0500  0000000  000  224</t>
  </si>
  <si>
    <t>000  0204  0000000  000  220</t>
  </si>
  <si>
    <t>10,106</t>
  </si>
  <si>
    <t>10,2</t>
  </si>
  <si>
    <t>Мобилизационная подготовка экономики</t>
  </si>
  <si>
    <t>000  1402  0000000  000  200</t>
  </si>
  <si>
    <t>котельно-печное топливо</t>
  </si>
  <si>
    <t>в т.ч. капитальный ремонт</t>
  </si>
  <si>
    <t>Другие вопросы в области жилищно-коммунального хозяйства</t>
  </si>
  <si>
    <t>Услуги связи</t>
  </si>
  <si>
    <t>000  0804  0000000  000  200</t>
  </si>
  <si>
    <t>8,99</t>
  </si>
  <si>
    <t>000  0405  0000000  000  210</t>
  </si>
  <si>
    <t>000  0203  0000000  000  221</t>
  </si>
  <si>
    <t>3,3</t>
  </si>
  <si>
    <t>500,3</t>
  </si>
  <si>
    <t>8,72</t>
  </si>
  <si>
    <t>000  0310  0000000  000  220</t>
  </si>
  <si>
    <t>6,182</t>
  </si>
  <si>
    <t>2,5</t>
  </si>
  <si>
    <t>Другие вопросы в области социальной политики</t>
  </si>
  <si>
    <t>000  1100  0000000  000  290</t>
  </si>
  <si>
    <t>000  0505  0000000  000  220</t>
  </si>
  <si>
    <t>500,27</t>
  </si>
  <si>
    <t>5,178</t>
  </si>
  <si>
    <t>2,119</t>
  </si>
  <si>
    <t>3,11</t>
  </si>
  <si>
    <t>6,19</t>
  </si>
  <si>
    <t>000  1100  0000000  000  310</t>
  </si>
  <si>
    <t>000  0104  0000000  000  213</t>
  </si>
  <si>
    <t>Амбулаторная помощь</t>
  </si>
  <si>
    <t>000  0702  0000000  000  222</t>
  </si>
  <si>
    <t>2,134</t>
  </si>
  <si>
    <t>4,321</t>
  </si>
  <si>
    <t>5,427</t>
  </si>
  <si>
    <t>000  1000  0000000  000  226</t>
  </si>
  <si>
    <t>000  0709  0000000  000  211</t>
  </si>
  <si>
    <t>000  0309  0000000  000  211</t>
  </si>
  <si>
    <t>8,321</t>
  </si>
  <si>
    <t>5,6</t>
  </si>
  <si>
    <t>4,509</t>
  </si>
  <si>
    <t>500,44</t>
  </si>
  <si>
    <t>9,28</t>
  </si>
  <si>
    <t>4,12</t>
  </si>
  <si>
    <t>иные расходы за счет безвозмездных перечислений</t>
  </si>
  <si>
    <t>000 500 023</t>
  </si>
  <si>
    <t>2,174</t>
  </si>
  <si>
    <t>Другие вопросы в области культуры, кинематографии</t>
  </si>
  <si>
    <t>4,507</t>
  </si>
  <si>
    <t>Остатки на конец отчетного периода</t>
  </si>
  <si>
    <t>000  0903  0000000  000  000</t>
  </si>
  <si>
    <t>000  0902  0000000  000  242</t>
  </si>
  <si>
    <t>000  0707  0000000  000  226</t>
  </si>
  <si>
    <t>000  0503  0000000  000  000</t>
  </si>
  <si>
    <t>000  0103  0000000  000  000</t>
  </si>
  <si>
    <t>5,8</t>
  </si>
  <si>
    <t>000  1105  0000000  000  000</t>
  </si>
  <si>
    <t>000  1101  0000000  000  300</t>
  </si>
  <si>
    <t>12,20</t>
  </si>
  <si>
    <t>9,68</t>
  </si>
  <si>
    <t>6,17</t>
  </si>
  <si>
    <t>3,112</t>
  </si>
  <si>
    <t>000  0804  0000000  000  340</t>
  </si>
  <si>
    <t>500,5</t>
  </si>
  <si>
    <t>12,177</t>
  </si>
  <si>
    <t>8,344</t>
  </si>
  <si>
    <t>8,74</t>
  </si>
  <si>
    <t>6,99</t>
  </si>
  <si>
    <t>000 500 006</t>
  </si>
  <si>
    <t>000  0701  0000000  000  212</t>
  </si>
  <si>
    <t>8,91</t>
  </si>
  <si>
    <t>7,107</t>
  </si>
  <si>
    <t>4,344</t>
  </si>
  <si>
    <t>2,151</t>
  </si>
  <si>
    <t>Дорожное хозяйство (дорожные фонды)</t>
  </si>
  <si>
    <t>000  0701  0000000  000  000</t>
  </si>
  <si>
    <t>000  0505  0000000  000  226</t>
  </si>
  <si>
    <t>000  0300  0000000  000  242</t>
  </si>
  <si>
    <t>500,21</t>
  </si>
  <si>
    <t>5,322</t>
  </si>
  <si>
    <t>000  0310  0000000  000  226</t>
  </si>
  <si>
    <t>11,37</t>
  </si>
  <si>
    <t>2,3</t>
  </si>
  <si>
    <t>МЕСЯЧНЫЙ ОТЧЕТ ОБ ИСПОЛНЕНИИ БЮДЖЕТА</t>
  </si>
  <si>
    <t>000  0800  0000000  000  000</t>
  </si>
  <si>
    <t>000  0204  0000000  000  226</t>
  </si>
  <si>
    <t>000  0100  0000000  000  222</t>
  </si>
  <si>
    <t>000  0804  0000000  000  300</t>
  </si>
  <si>
    <t>Работы, услуги по содержанию имущества</t>
  </si>
  <si>
    <t>000  0500  0000000  000  222</t>
  </si>
  <si>
    <t>Другие вопросы в области физической культуры и спорта</t>
  </si>
  <si>
    <t>000  0400  0000000  000  000</t>
  </si>
  <si>
    <t>2,486</t>
  </si>
  <si>
    <t>9,170</t>
  </si>
  <si>
    <t>Другие вопросы в области образования</t>
  </si>
  <si>
    <t>000 500 046</t>
  </si>
  <si>
    <t>000  1006  0000000  000  000</t>
  </si>
  <si>
    <t>000  0113  0000000  000  213</t>
  </si>
  <si>
    <t>9,43</t>
  </si>
  <si>
    <t>2,463</t>
  </si>
  <si>
    <t>000 500 008</t>
  </si>
  <si>
    <t>11,2</t>
  </si>
  <si>
    <t>6,72</t>
  </si>
  <si>
    <t>000  0800  0000000  000  212</t>
  </si>
  <si>
    <t>000  0400  0000000  000  212</t>
  </si>
  <si>
    <t>11,166</t>
  </si>
  <si>
    <t>Физическая культура</t>
  </si>
  <si>
    <t>000 500 002</t>
  </si>
  <si>
    <t>000  0405  0000000  000  212</t>
  </si>
  <si>
    <t>000  0203  0000000  000  223</t>
  </si>
  <si>
    <t>12,196</t>
  </si>
  <si>
    <t>3,1</t>
  </si>
  <si>
    <t>000  0700  0000000  000  340</t>
  </si>
  <si>
    <t>000  0300  0000000  000  340</t>
  </si>
  <si>
    <t>500,1</t>
  </si>
  <si>
    <t>Пенсионное обеспечение</t>
  </si>
  <si>
    <t>000  1403  0000000  000  000</t>
  </si>
  <si>
    <t>000  1003  0000000  000  000</t>
  </si>
  <si>
    <t>000  0701  0000000  000  310</t>
  </si>
  <si>
    <t>2,7</t>
  </si>
  <si>
    <t>000  0801  0000000  000  300</t>
  </si>
  <si>
    <t>000  0405  0000000  000  000</t>
  </si>
  <si>
    <t>500,25</t>
  </si>
  <si>
    <t>8,246</t>
  </si>
  <si>
    <t>6,36</t>
  </si>
  <si>
    <t>2,469</t>
  </si>
  <si>
    <t>000  0800  0000000  000  310</t>
  </si>
  <si>
    <t>3,30</t>
  </si>
  <si>
    <t>9,47</t>
  </si>
  <si>
    <t>000  0409  0000000  000  220</t>
  </si>
  <si>
    <t>000  0111  0000000  000  000</t>
  </si>
  <si>
    <t>000  0400  0000000  000  310</t>
  </si>
  <si>
    <t>000 500 042</t>
  </si>
  <si>
    <t>5,328</t>
  </si>
  <si>
    <t>8,248</t>
  </si>
  <si>
    <t>8,30</t>
  </si>
  <si>
    <t>000  0100  0000000  000  226</t>
  </si>
  <si>
    <t>000  0500  0000000  000  226</t>
  </si>
  <si>
    <t>000  0300  0000000  000  300</t>
  </si>
  <si>
    <t>Физическая культура и спорт</t>
  </si>
  <si>
    <t>Прочие работы, услуги</t>
  </si>
  <si>
    <t>000  0900  0000000  000  226</t>
  </si>
  <si>
    <t>Безвозмездные перечисления государственным и муниципальным организациям</t>
  </si>
  <si>
    <t>000  0700  0000000  000  300</t>
  </si>
  <si>
    <t>2,9</t>
  </si>
  <si>
    <t>10,316</t>
  </si>
  <si>
    <t>Увеличение стоимости материальных запасов</t>
  </si>
  <si>
    <t>000  0801  0000000  000  340</t>
  </si>
  <si>
    <t>6,125</t>
  </si>
  <si>
    <t>4,33</t>
  </si>
  <si>
    <t>13  13 Суммы, подлежащие исключению Консолид. Исполнено</t>
  </si>
  <si>
    <t>Расходы на дополнительное образование, всего</t>
  </si>
  <si>
    <t>000  1100  0000000  000  000</t>
  </si>
  <si>
    <t>8,325</t>
  </si>
  <si>
    <t>5,2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</si>
  <si>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</si>
  <si>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000  0702  0000000  000  226</t>
  </si>
  <si>
    <t>000  0502  0000000  000  300</t>
  </si>
  <si>
    <t>000  0200  0000000  000  213</t>
  </si>
  <si>
    <t>3,118</t>
  </si>
  <si>
    <t>000 500 029</t>
  </si>
  <si>
    <t>000  0700  0000000  000  223</t>
  </si>
  <si>
    <t>500,40</t>
  </si>
  <si>
    <t>12,64</t>
  </si>
  <si>
    <t>6,100</t>
  </si>
  <si>
    <t>4,4</t>
  </si>
  <si>
    <t xml:space="preserve"> </t>
  </si>
  <si>
    <t>Другие вопросы в области национальной экономики</t>
  </si>
  <si>
    <t>000  0203  0000000  000  340</t>
  </si>
  <si>
    <t>11,147</t>
  </si>
  <si>
    <t>10,333</t>
  </si>
  <si>
    <t>000  1000  0000000  000  262</t>
  </si>
  <si>
    <t>000  0801  0000000  000  223</t>
  </si>
  <si>
    <t>8,55</t>
  </si>
  <si>
    <t>4,503</t>
  </si>
  <si>
    <t>4,380</t>
  </si>
  <si>
    <t>000 500 027</t>
  </si>
  <si>
    <t>000  0502  0000000  000  340</t>
  </si>
  <si>
    <t>2,170</t>
  </si>
  <si>
    <t>000  0503  0000000  000  310</t>
  </si>
  <si>
    <t>000  0412  0000000  000  000</t>
  </si>
  <si>
    <t>6,13</t>
  </si>
  <si>
    <t>3,116</t>
  </si>
  <si>
    <t>00000000000000000225</t>
  </si>
  <si>
    <t>000  1105  0000000  000  310</t>
  </si>
  <si>
    <t>000  0203  0000000  000  300</t>
  </si>
  <si>
    <t>11,107</t>
  </si>
  <si>
    <t>5,21</t>
  </si>
  <si>
    <t>2,387</t>
  </si>
  <si>
    <t>000  0600  0000000  000  220</t>
  </si>
  <si>
    <t>000  0200  0000000  000  220</t>
  </si>
  <si>
    <t>4,316</t>
  </si>
  <si>
    <t>Другие общегосударственные вопросы</t>
  </si>
  <si>
    <t>000  0909  0000000  000  300</t>
  </si>
  <si>
    <t>000  0801  0000000  000  250</t>
  </si>
  <si>
    <t>000  0709  0000000  000  226</t>
  </si>
  <si>
    <t>000  0309  0000000  000  226</t>
  </si>
  <si>
    <t>8,316</t>
  </si>
  <si>
    <t>Благоустройство</t>
  </si>
  <si>
    <t>Поступление нефинансовых активов</t>
  </si>
  <si>
    <t>000  7900  0000000  000  000</t>
  </si>
  <si>
    <t>000  0800  0000000  000  200</t>
  </si>
  <si>
    <t>000  0707  0000000  000  251</t>
  </si>
  <si>
    <t>000  0400  0000000  000  200</t>
  </si>
  <si>
    <t>9,8</t>
  </si>
  <si>
    <t>8,68</t>
  </si>
  <si>
    <t>Оплата труда и начисления на выплаты по оплате труда</t>
  </si>
  <si>
    <t>000  1006  0000000  000  200</t>
  </si>
  <si>
    <t>000  0700  0000000  000  210</t>
  </si>
  <si>
    <t>000  0300  0000000  000  210</t>
  </si>
  <si>
    <t>4,358</t>
  </si>
  <si>
    <t>00000000000000000310</t>
  </si>
  <si>
    <t>000 500 014</t>
  </si>
  <si>
    <t>000  0701  0000000  000  200</t>
  </si>
  <si>
    <t>8,83</t>
  </si>
  <si>
    <t>4,356</t>
  </si>
  <si>
    <t>2,143</t>
  </si>
  <si>
    <t>000  1400  0000000  000  251</t>
  </si>
  <si>
    <t>000  0801  0000000  000  210</t>
  </si>
  <si>
    <t>000  0503  0000000  000  225</t>
  </si>
  <si>
    <t>9,6</t>
  </si>
  <si>
    <t>2,11</t>
  </si>
  <si>
    <t>000  0501  0000000  000  220</t>
  </si>
  <si>
    <t>8,318</t>
  </si>
  <si>
    <t>8,28</t>
  </si>
  <si>
    <t>6,196</t>
  </si>
  <si>
    <t>5,12</t>
  </si>
  <si>
    <t>000  1006  0000000  000  240</t>
  </si>
  <si>
    <t>000  0700  0000000  000  250</t>
  </si>
  <si>
    <t>000  0314  0000000  000  220</t>
  </si>
  <si>
    <t>500,33</t>
  </si>
  <si>
    <t>10,52</t>
  </si>
  <si>
    <t>8,250</t>
  </si>
  <si>
    <t>6,20</t>
  </si>
  <si>
    <t>4,318</t>
  </si>
  <si>
    <t>000  0903  0000000  000  200</t>
  </si>
  <si>
    <t>000  0503  0000000  000  200</t>
  </si>
  <si>
    <t>000  0103  0000000  000  200</t>
  </si>
  <si>
    <t>15,1</t>
  </si>
  <si>
    <t>12,99</t>
  </si>
  <si>
    <t>8,43</t>
  </si>
  <si>
    <t>2,34</t>
  </si>
  <si>
    <t>000  1105  0000000  000  200</t>
  </si>
  <si>
    <t>000 500 031</t>
  </si>
  <si>
    <t>000  0203  0000000  000  210</t>
  </si>
  <si>
    <t>000  0904  0000000  000  241</t>
  </si>
  <si>
    <t>000  0405  0000000  000  221</t>
  </si>
  <si>
    <t>000  1004  0000000  000  260</t>
  </si>
  <si>
    <t>000  0701  0000000  000  225</t>
  </si>
  <si>
    <t>2,414</t>
  </si>
  <si>
    <t>6,118</t>
  </si>
  <si>
    <t>500,16</t>
  </si>
  <si>
    <t>000  0700  0000000  000  290</t>
  </si>
  <si>
    <t>000  0310  0000000  000  211</t>
  </si>
  <si>
    <t>000  0903  0000000  000  240</t>
  </si>
  <si>
    <t>12,100</t>
  </si>
  <si>
    <t>9,147</t>
  </si>
  <si>
    <t>Сельское хозяйство и рыболовство</t>
  </si>
  <si>
    <t>000  1004  0000000  000  220</t>
  </si>
  <si>
    <t>000  0801  0000000  000  290</t>
  </si>
  <si>
    <t>500,18</t>
  </si>
  <si>
    <t>15,71</t>
  </si>
  <si>
    <t>в т.ч. на оплату труда и начисления на ФОТ</t>
  </si>
  <si>
    <t>000  0505  0000000  000  251</t>
  </si>
  <si>
    <t>10,37</t>
  </si>
  <si>
    <t>6,116</t>
  </si>
  <si>
    <t>000  0800  0000000  000  225</t>
  </si>
  <si>
    <t>000  0400  0000000  000  225</t>
  </si>
  <si>
    <t>Дошкольное образование</t>
  </si>
  <si>
    <t>000  0701  0000000  000  221</t>
  </si>
  <si>
    <t>000  0412  0000000  000  200</t>
  </si>
  <si>
    <t>9,30</t>
  </si>
  <si>
    <t>000  0500  0000000  000  251</t>
  </si>
  <si>
    <t>15,125</t>
  </si>
  <si>
    <t>8,47</t>
  </si>
  <si>
    <t>2,30</t>
  </si>
  <si>
    <t>000  0804  0000000  000  290</t>
  </si>
  <si>
    <t>5,33</t>
  </si>
  <si>
    <t>Массовый спорт</t>
  </si>
  <si>
    <t>500,12</t>
  </si>
  <si>
    <t>12,36</t>
  </si>
  <si>
    <t>Коммунальные услуги</t>
  </si>
  <si>
    <t>000  0113  0000000  000  220</t>
  </si>
  <si>
    <t>000  0100  0000000  000  211</t>
  </si>
  <si>
    <t>15,90</t>
  </si>
  <si>
    <t>9,143</t>
  </si>
  <si>
    <t>000  1100  0000000  000  200</t>
  </si>
  <si>
    <t>000  1001  0000000  000  260</t>
  </si>
  <si>
    <t>000  0901  0000000  000  241</t>
  </si>
  <si>
    <t>000  0800  0000000  000  221</t>
  </si>
  <si>
    <t>000  0400  0000000  000  221</t>
  </si>
  <si>
    <t>7,2</t>
  </si>
  <si>
    <t>500,52</t>
  </si>
  <si>
    <t>6,112</t>
  </si>
  <si>
    <t>4,379</t>
  </si>
  <si>
    <t>000  0709  0000000  000  222</t>
  </si>
  <si>
    <t>000  0309  0000000  000  222</t>
  </si>
  <si>
    <t>000  0107  0000000  000  290</t>
  </si>
  <si>
    <t>5,183</t>
  </si>
  <si>
    <t>000 500 050</t>
  </si>
  <si>
    <t>000  1101  0000000  000  290</t>
  </si>
  <si>
    <t>000  0702  0000000  000  211</t>
  </si>
  <si>
    <t>000  0200  0000000  000  224</t>
  </si>
  <si>
    <t>000  0104  0000000  000  220</t>
  </si>
  <si>
    <t>500,39</t>
  </si>
  <si>
    <t>9,55</t>
  </si>
  <si>
    <t>2,107</t>
  </si>
  <si>
    <t>000  0804  0000000  000  210</t>
  </si>
  <si>
    <t>000  0111  0000000  000  200</t>
  </si>
  <si>
    <t>2,149</t>
  </si>
  <si>
    <t>Общегосударственные вопросы</t>
  </si>
  <si>
    <t>10,158</t>
  </si>
  <si>
    <t>8,100</t>
  </si>
  <si>
    <t>7,13</t>
  </si>
  <si>
    <t>6,81</t>
  </si>
  <si>
    <t>4,497</t>
  </si>
  <si>
    <t>000  1403  0000000  000  200</t>
  </si>
  <si>
    <t>000  1003  0000000  000  200</t>
  </si>
  <si>
    <t>000  0103  0000000  000  221</t>
  </si>
  <si>
    <t>9,2</t>
  </si>
  <si>
    <t>7,205</t>
  </si>
  <si>
    <t>в т.ч. капитальные вложения</t>
  </si>
  <si>
    <t>000 500 010</t>
  </si>
  <si>
    <t>000  0702  0000000  000  251</t>
  </si>
  <si>
    <t>000  0405  0000000  000  200</t>
  </si>
  <si>
    <t>10,18</t>
  </si>
  <si>
    <t>4,352</t>
  </si>
  <si>
    <t>2,147</t>
  </si>
  <si>
    <t>000  0804  0000000  000  250</t>
  </si>
  <si>
    <t>000  9600  0000000  000  000</t>
  </si>
  <si>
    <t>500,37</t>
  </si>
  <si>
    <t>12,13</t>
  </si>
  <si>
    <t>8,4</t>
  </si>
  <si>
    <t>6,177</t>
  </si>
  <si>
    <t>2,109</t>
  </si>
  <si>
    <t>Ед. измерения: отчета -  руб.</t>
  </si>
  <si>
    <t>000  1402  0000000  000  250</t>
  </si>
  <si>
    <t>10,344</t>
  </si>
  <si>
    <t>9,168</t>
  </si>
  <si>
    <t>000  0902  0000000  000  000</t>
  </si>
  <si>
    <t>000  0502  0000000  000  000</t>
  </si>
  <si>
    <t>000  1100  0000000  000  300</t>
  </si>
  <si>
    <t>000  0113  0000000  000  226</t>
  </si>
  <si>
    <t>6,2</t>
  </si>
  <si>
    <t>Услуги по содержанию имущества</t>
  </si>
  <si>
    <t>9,38</t>
  </si>
  <si>
    <t>6,114</t>
  </si>
  <si>
    <t>6,47</t>
  </si>
  <si>
    <t>3,142</t>
  </si>
  <si>
    <t>11,153</t>
  </si>
  <si>
    <t>7,30</t>
  </si>
  <si>
    <t>4,519</t>
  </si>
  <si>
    <t>хозяйственные материалы и канцелярские принадлежности</t>
  </si>
  <si>
    <t>8,41</t>
  </si>
  <si>
    <t>Код показателя</t>
  </si>
  <si>
    <t>000 500 033</t>
  </si>
  <si>
    <t>000  1004  0000000  000  262</t>
  </si>
  <si>
    <t>9,36</t>
  </si>
  <si>
    <t>500,14</t>
  </si>
  <si>
    <t>000  0603  0000000  000  000</t>
  </si>
  <si>
    <t>000  0203  0000000  000  000</t>
  </si>
  <si>
    <t>000  1101  0000000  000  310</t>
  </si>
  <si>
    <t>содержание в чистоте помещений, зданий, дворов, иного имущества</t>
  </si>
  <si>
    <t>Стационарная медицинская помощь</t>
  </si>
  <si>
    <t>2,458</t>
  </si>
  <si>
    <t>5,317</t>
  </si>
  <si>
    <t>12,30</t>
  </si>
  <si>
    <t>прочие выплаты</t>
  </si>
  <si>
    <t>Культура</t>
  </si>
  <si>
    <t>000  0310  0000000  000  213</t>
  </si>
  <si>
    <t>12,182</t>
  </si>
  <si>
    <t>9,13</t>
  </si>
  <si>
    <t>4,354</t>
  </si>
  <si>
    <t>4,29</t>
  </si>
  <si>
    <t>000  0801  0000000  000  212</t>
  </si>
  <si>
    <t>15,106</t>
  </si>
  <si>
    <t>9,4</t>
  </si>
  <si>
    <t>8,64</t>
  </si>
  <si>
    <t>2,13</t>
  </si>
  <si>
    <t>Увеличение стоимости основных средств</t>
  </si>
  <si>
    <t>000  0801  0000000  000  000</t>
  </si>
  <si>
    <t>000  0405  0000000  000  300</t>
  </si>
  <si>
    <t>11,27</t>
  </si>
  <si>
    <t>000  1006  0000000  000  242</t>
  </si>
  <si>
    <t>500,31</t>
  </si>
  <si>
    <t>8,252</t>
  </si>
  <si>
    <t>8,2</t>
  </si>
  <si>
    <t>Прочие расходы</t>
  </si>
  <si>
    <t>000  0700  0000000  000  000</t>
  </si>
  <si>
    <t>000  0300  0000000  000  000</t>
  </si>
  <si>
    <t>000  0200  0000000  000  222</t>
  </si>
  <si>
    <t>000  0104  0000000  000  226</t>
  </si>
  <si>
    <t>15,56</t>
  </si>
  <si>
    <t>000  0804  0000000  000  310</t>
  </si>
  <si>
    <t>9,160</t>
  </si>
  <si>
    <t>000  0405  0000000  000  340</t>
  </si>
  <si>
    <t>4,491</t>
  </si>
  <si>
    <t>000 500 018</t>
  </si>
  <si>
    <t>000  0700  0000000  000  212</t>
  </si>
  <si>
    <t>000  0300  0000000  000  212</t>
  </si>
  <si>
    <t>начисления на оплату труда</t>
  </si>
  <si>
    <t>000  0503  0000000  000  223</t>
  </si>
  <si>
    <t>000  0800  0000000  000  340</t>
  </si>
  <si>
    <t>000  0400  0000000  000  340</t>
  </si>
  <si>
    <t>2,145</t>
  </si>
  <si>
    <t>другие расходы</t>
  </si>
  <si>
    <t>000  0909  0000000  000  240</t>
  </si>
  <si>
    <t>000  0801  0000000  000  310</t>
  </si>
  <si>
    <t>000  0314  0000000  000  226</t>
  </si>
  <si>
    <t>8,6</t>
  </si>
  <si>
    <t>на другие цели</t>
  </si>
  <si>
    <t>000  0701  0000000  000  300</t>
  </si>
  <si>
    <t>000  0501  0000000  000  226</t>
  </si>
  <si>
    <t>8,20</t>
  </si>
  <si>
    <t>Другие вопросы в области охраны окружающей среды</t>
  </si>
  <si>
    <t>000  0309  0000000  000  220</t>
  </si>
  <si>
    <t>000  0709  0000000  000  220</t>
  </si>
  <si>
    <t>Расходы бюджета - ИТОГО</t>
  </si>
  <si>
    <t>000  0300  0000000  000  310</t>
  </si>
  <si>
    <t>000  0700  0000000  000  310</t>
  </si>
  <si>
    <t>000  1402  0000000  000  000</t>
  </si>
  <si>
    <t>5,181</t>
  </si>
  <si>
    <t>000  0800  0000000  000  300</t>
  </si>
  <si>
    <t>000  0600  0000000  000  226</t>
  </si>
  <si>
    <t>000  0200  0000000  000  226</t>
  </si>
  <si>
    <t>000  0804  0000000  000  000</t>
  </si>
  <si>
    <t>000  0104  0000000  000  222</t>
  </si>
  <si>
    <t>000  0400  0000000  000  300</t>
  </si>
  <si>
    <t>000 500 052</t>
  </si>
  <si>
    <t>000  0702  0000000  000  213</t>
  </si>
  <si>
    <t>8,8</t>
  </si>
  <si>
    <t>8,258</t>
  </si>
  <si>
    <t>Капитальные расходы</t>
  </si>
  <si>
    <t>000  0909  0000000  000  200</t>
  </si>
  <si>
    <t>12,188</t>
  </si>
  <si>
    <t>6,135</t>
  </si>
  <si>
    <t>000  0701  0000000  000  340</t>
  </si>
  <si>
    <t>12,2</t>
  </si>
  <si>
    <t>6,83</t>
  </si>
  <si>
    <t>Прочие межбюджетные трансферты бюджетам субъектов Российской Федерации и муниципальных образований общего характера</t>
  </si>
  <si>
    <t>Охрана объектов растительного и животного мира и среды их обитания</t>
  </si>
  <si>
    <t>000  1004  0000000  000  226</t>
  </si>
  <si>
    <t>000  0502  0000000  000  310</t>
  </si>
  <si>
    <t>000  0113  0000000  000  222</t>
  </si>
  <si>
    <t>7,176</t>
  </si>
  <si>
    <t>5,433</t>
  </si>
  <si>
    <t>3,108</t>
  </si>
  <si>
    <t>Социальная политика</t>
  </si>
  <si>
    <t>000  0100  0000000  000  213</t>
  </si>
  <si>
    <t>9,141</t>
  </si>
  <si>
    <t>000  0800  0000000  000  223</t>
  </si>
  <si>
    <t>6,204</t>
  </si>
  <si>
    <t>000 500 039</t>
  </si>
  <si>
    <t>00000000000000000290</t>
  </si>
  <si>
    <t>000  0503  0000000  000  340</t>
  </si>
  <si>
    <t>500,50</t>
  </si>
  <si>
    <t>000 500 037</t>
  </si>
  <si>
    <t>000  0701  0000000  000  223</t>
  </si>
  <si>
    <t>15,37</t>
  </si>
  <si>
    <t>8,45</t>
  </si>
  <si>
    <t>2,274</t>
  </si>
  <si>
    <t>Здравоохранение</t>
  </si>
  <si>
    <t>000  1105  0000000  000  300</t>
  </si>
  <si>
    <t>000  1101  0000000  000  000</t>
  </si>
  <si>
    <t>000  0203  0000000  000  310</t>
  </si>
  <si>
    <t>Перечисления другим бюджетам бюджетной системы Российской Федерации</t>
  </si>
  <si>
    <t>000  0503  0000000  000  300</t>
  </si>
  <si>
    <t>000  0107  0000000  000  000</t>
  </si>
  <si>
    <t>500,10</t>
  </si>
  <si>
    <t>10,71</t>
  </si>
  <si>
    <t>3,106</t>
  </si>
  <si>
    <t>Расходы бюджета - отчет на 01.10.2012</t>
  </si>
  <si>
    <t>Начальник отдела финансов</t>
  </si>
  <si>
    <t>Главный бухгалтер</t>
  </si>
  <si>
    <t>Е.Н.Гусева</t>
  </si>
  <si>
    <t>Н.И.Сарычева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</si>
</sst>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7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0"/>
      <color indexed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4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167" fontId="6" fillId="0" borderId="0" xfId="0" applyFont="1" applyAlignment="1">
      <alignment horizontal="right" wrapText="1"/>
    </xf>
    <xf numFmtId="0" fontId="0" fillId="0" borderId="0" xfId="0" applyAlignment="1">
      <alignment/>
    </xf>
    <xf numFmtId="0" fontId="1" fillId="0" borderId="0" xfId="0" applyAlignment="1">
      <alignment horizontal="left" vertical="top" wrapText="1"/>
    </xf>
    <xf numFmtId="0" fontId="5" fillId="0" borderId="0" xfId="0" applyAlignment="1">
      <alignment horizontal="left" vertical="top" wrapText="1"/>
    </xf>
    <xf numFmtId="0" fontId="5" fillId="0" borderId="0" xfId="0" applyAlignment="1">
      <alignment horizontal="center" vertical="top" wrapText="1"/>
    </xf>
    <xf numFmtId="0" fontId="1" fillId="0" borderId="0" xfId="0" applyAlignment="1">
      <alignment horizontal="right" vertical="top" wrapText="1"/>
    </xf>
    <xf numFmtId="0" fontId="2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3"/>
  <sheetViews>
    <sheetView tabSelected="1" workbookViewId="0" topLeftCell="A527">
      <selection activeCell="J547" sqref="J547"/>
    </sheetView>
  </sheetViews>
  <sheetFormatPr defaultColWidth="9.140625" defaultRowHeight="12.75"/>
  <cols>
    <col min="1" max="1" width="4.421875" style="0" customWidth="1"/>
    <col min="2" max="2" width="26.00390625" style="0" customWidth="1"/>
    <col min="3" max="3" width="17.57421875" style="0" customWidth="1"/>
    <col min="4" max="4" width="15.8515625" style="0" customWidth="1"/>
    <col min="5" max="5" width="14.57421875" style="0" customWidth="1"/>
    <col min="6" max="6" width="16.8515625" style="0" customWidth="1"/>
    <col min="7" max="7" width="14.7109375" style="0" customWidth="1"/>
    <col min="8" max="8" width="14.8515625" style="0" customWidth="1"/>
    <col min="9" max="9" width="13.7109375" style="0" customWidth="1"/>
    <col min="10" max="10" width="14.8515625" style="0" customWidth="1"/>
    <col min="11" max="11" width="15.140625" style="0" customWidth="1"/>
  </cols>
  <sheetData>
    <row r="1" spans="1:11" ht="12.75">
      <c r="A1" s="6"/>
      <c r="B1" s="5"/>
      <c r="C1" s="5"/>
      <c r="D1" s="5"/>
      <c r="E1" s="10" t="s">
        <v>810</v>
      </c>
      <c r="F1" s="5"/>
      <c r="G1" s="5"/>
      <c r="H1" s="5"/>
      <c r="I1" s="9" t="s">
        <v>1062</v>
      </c>
      <c r="J1" s="5"/>
      <c r="K1" s="5"/>
    </row>
    <row r="2" spans="1:11" ht="12.75">
      <c r="A2" s="6"/>
      <c r="B2" s="5"/>
      <c r="C2" s="5"/>
      <c r="D2" s="5"/>
      <c r="E2" s="11" t="s">
        <v>1198</v>
      </c>
      <c r="F2" s="5"/>
      <c r="G2" s="5"/>
      <c r="H2" s="5"/>
      <c r="I2" s="9" t="s">
        <v>600</v>
      </c>
      <c r="J2" s="5"/>
      <c r="K2" s="5"/>
    </row>
    <row r="3" spans="1:11" ht="12.75">
      <c r="A3" s="6" t="s">
        <v>893</v>
      </c>
      <c r="B3" s="5"/>
      <c r="C3" s="5"/>
      <c r="D3" s="5"/>
      <c r="E3" s="10" t="s">
        <v>7</v>
      </c>
      <c r="F3" s="5"/>
      <c r="G3" s="5"/>
      <c r="H3" s="5"/>
      <c r="I3" s="6" t="s">
        <v>893</v>
      </c>
      <c r="J3" s="5"/>
      <c r="K3" s="5"/>
    </row>
    <row r="4" spans="1:11" ht="54">
      <c r="A4" s="1" t="s">
        <v>234</v>
      </c>
      <c r="B4" s="1" t="s">
        <v>1081</v>
      </c>
      <c r="C4" s="1" t="s">
        <v>719</v>
      </c>
      <c r="D4" s="1" t="s">
        <v>592</v>
      </c>
      <c r="E4" s="1" t="s">
        <v>368</v>
      </c>
      <c r="F4" s="1" t="s">
        <v>163</v>
      </c>
      <c r="G4" s="1" t="s">
        <v>406</v>
      </c>
      <c r="H4" s="1" t="s">
        <v>81</v>
      </c>
      <c r="I4" s="1" t="s">
        <v>877</v>
      </c>
      <c r="J4" s="1" t="s">
        <v>20</v>
      </c>
      <c r="K4" s="1" t="s">
        <v>162</v>
      </c>
    </row>
    <row r="5" spans="1:11" ht="25.5">
      <c r="A5" s="2" t="s">
        <v>648</v>
      </c>
      <c r="B5" s="3" t="s">
        <v>1056</v>
      </c>
      <c r="C5" s="3" t="s">
        <v>1144</v>
      </c>
      <c r="D5" s="4">
        <f>ROUND(1132377766.59,2)</f>
        <v>1132377766.59</v>
      </c>
      <c r="E5" s="4">
        <f>ROUND(91420740,2)</f>
        <v>91420740</v>
      </c>
      <c r="F5" s="4">
        <f>ROUND(1024606499.32,2)</f>
        <v>1024606499.32</v>
      </c>
      <c r="G5" s="4">
        <f>ROUND(199192007.27,2)</f>
        <v>199192007.27</v>
      </c>
      <c r="H5" s="4">
        <f>ROUND(790077799.75,2)</f>
        <v>790077799.75</v>
      </c>
      <c r="I5" s="4">
        <f>ROUND(52262772.18,2)</f>
        <v>52262772.18</v>
      </c>
      <c r="J5" s="4">
        <f>ROUND(709869876,2)</f>
        <v>709869876</v>
      </c>
      <c r="K5" s="4">
        <f>ROUND(132470695.93,2)</f>
        <v>132470695.93</v>
      </c>
    </row>
    <row r="6" spans="1:11" ht="25.5">
      <c r="A6" s="2" t="s">
        <v>294</v>
      </c>
      <c r="B6" s="3" t="s">
        <v>510</v>
      </c>
      <c r="C6" s="3" t="s">
        <v>1037</v>
      </c>
      <c r="D6" s="4">
        <f>ROUND(101800074.28,2)</f>
        <v>101800074.28</v>
      </c>
      <c r="E6" s="4">
        <f aca="true" t="shared" si="0" ref="E6:E37">ROUND(0,2)</f>
        <v>0</v>
      </c>
      <c r="F6" s="4">
        <f>ROUND(55363079.32,2)</f>
        <v>55363079.32</v>
      </c>
      <c r="G6" s="4">
        <f>ROUND(46436994.96,2)</f>
        <v>46436994.96</v>
      </c>
      <c r="H6" s="4">
        <f>ROUND(61059391.05,2)</f>
        <v>61059391.05</v>
      </c>
      <c r="I6" s="4">
        <f aca="true" t="shared" si="1" ref="I6:I37">ROUND(0,2)</f>
        <v>0</v>
      </c>
      <c r="J6" s="4">
        <f>ROUND(27536907.43,2)</f>
        <v>27536907.43</v>
      </c>
      <c r="K6" s="4">
        <f>ROUND(33522483.62,2)</f>
        <v>33522483.62</v>
      </c>
    </row>
    <row r="7" spans="1:11" ht="25.5">
      <c r="A7" s="2" t="s">
        <v>809</v>
      </c>
      <c r="B7" s="3" t="s">
        <v>12</v>
      </c>
      <c r="C7" s="3" t="s">
        <v>114</v>
      </c>
      <c r="D7" s="4">
        <f>ROUND(93961425.22,2)</f>
        <v>93961425.22</v>
      </c>
      <c r="E7" s="4">
        <f t="shared" si="0"/>
        <v>0</v>
      </c>
      <c r="F7" s="4">
        <f>ROUND(52807114.75,2)</f>
        <v>52807114.75</v>
      </c>
      <c r="G7" s="4">
        <f>ROUND(41154310.47,2)</f>
        <v>41154310.47</v>
      </c>
      <c r="H7" s="4">
        <f>ROUND(55091546.9,2)</f>
        <v>55091546.9</v>
      </c>
      <c r="I7" s="4">
        <f t="shared" si="1"/>
        <v>0</v>
      </c>
      <c r="J7" s="4">
        <f>ROUND(25882301.48,2)</f>
        <v>25882301.48</v>
      </c>
      <c r="K7" s="4">
        <f>ROUND(29209245.42,2)</f>
        <v>29209245.42</v>
      </c>
    </row>
    <row r="8" spans="1:11" ht="51">
      <c r="A8" s="2" t="s">
        <v>39</v>
      </c>
      <c r="B8" s="3" t="s">
        <v>328</v>
      </c>
      <c r="C8" s="3" t="s">
        <v>933</v>
      </c>
      <c r="D8" s="4">
        <f>ROUND(62849133.11,2)</f>
        <v>62849133.11</v>
      </c>
      <c r="E8" s="4">
        <f t="shared" si="0"/>
        <v>0</v>
      </c>
      <c r="F8" s="4">
        <f>ROUND(31569110.11,2)</f>
        <v>31569110.11</v>
      </c>
      <c r="G8" s="4">
        <f>ROUND(31280023,2)</f>
        <v>31280023</v>
      </c>
      <c r="H8" s="4">
        <f>ROUND(41963787.89,2)</f>
        <v>41963787.89</v>
      </c>
      <c r="I8" s="4">
        <f t="shared" si="1"/>
        <v>0</v>
      </c>
      <c r="J8" s="4">
        <f>ROUND(20140275.21,2)</f>
        <v>20140275.21</v>
      </c>
      <c r="K8" s="4">
        <f>ROUND(21823512.68,2)</f>
        <v>21823512.68</v>
      </c>
    </row>
    <row r="9" spans="1:11" ht="25.5">
      <c r="A9" s="2" t="s">
        <v>746</v>
      </c>
      <c r="B9" s="3" t="s">
        <v>1010</v>
      </c>
      <c r="C9" s="3" t="s">
        <v>227</v>
      </c>
      <c r="D9" s="4">
        <f>ROUND(49025918.16,2)</f>
        <v>49025918.16</v>
      </c>
      <c r="E9" s="4">
        <f t="shared" si="0"/>
        <v>0</v>
      </c>
      <c r="F9" s="4">
        <f>ROUND(24830178.16,2)</f>
        <v>24830178.16</v>
      </c>
      <c r="G9" s="4">
        <f>ROUND(24195740,2)</f>
        <v>24195740</v>
      </c>
      <c r="H9" s="4">
        <f>ROUND(33327089.71,2)</f>
        <v>33327089.71</v>
      </c>
      <c r="I9" s="4">
        <f t="shared" si="1"/>
        <v>0</v>
      </c>
      <c r="J9" s="4">
        <f>ROUND(16212996.86,2)</f>
        <v>16212996.86</v>
      </c>
      <c r="K9" s="4">
        <f>ROUND(17114092.85,2)</f>
        <v>17114092.85</v>
      </c>
    </row>
    <row r="10" spans="1:11" ht="25.5">
      <c r="A10" s="2" t="s">
        <v>161</v>
      </c>
      <c r="B10" s="3" t="s">
        <v>527</v>
      </c>
      <c r="C10" s="3" t="s">
        <v>343</v>
      </c>
      <c r="D10" s="4">
        <f>ROUND(13950,2)</f>
        <v>13950</v>
      </c>
      <c r="E10" s="4">
        <f t="shared" si="0"/>
        <v>0</v>
      </c>
      <c r="F10" s="4">
        <f>ROUND(7150,2)</f>
        <v>7150</v>
      </c>
      <c r="G10" s="4">
        <f>ROUND(6800,2)</f>
        <v>6800</v>
      </c>
      <c r="H10" s="4">
        <f>ROUND(6520,2)</f>
        <v>6520</v>
      </c>
      <c r="I10" s="4">
        <f t="shared" si="1"/>
        <v>0</v>
      </c>
      <c r="J10" s="4">
        <f>ROUND(6520,2)</f>
        <v>6520</v>
      </c>
      <c r="K10" s="4">
        <f>ROUND(0,2)</f>
        <v>0</v>
      </c>
    </row>
    <row r="11" spans="1:11" ht="38.25">
      <c r="A11" s="2" t="s">
        <v>846</v>
      </c>
      <c r="B11" s="3" t="s">
        <v>1175</v>
      </c>
      <c r="C11" s="3" t="s">
        <v>144</v>
      </c>
      <c r="D11" s="4">
        <f>ROUND(13809264.95,2)</f>
        <v>13809264.95</v>
      </c>
      <c r="E11" s="4">
        <f t="shared" si="0"/>
        <v>0</v>
      </c>
      <c r="F11" s="4">
        <f>ROUND(6731781.95,2)</f>
        <v>6731781.95</v>
      </c>
      <c r="G11" s="4">
        <f>ROUND(7077483,2)</f>
        <v>7077483</v>
      </c>
      <c r="H11" s="4">
        <f>ROUND(8630178.18,2)</f>
        <v>8630178.18</v>
      </c>
      <c r="I11" s="4">
        <f t="shared" si="1"/>
        <v>0</v>
      </c>
      <c r="J11" s="4">
        <f>ROUND(3920758.35,2)</f>
        <v>3920758.35</v>
      </c>
      <c r="K11" s="4">
        <f>ROUND(4709419.83,2)</f>
        <v>4709419.83</v>
      </c>
    </row>
    <row r="12" spans="1:11" ht="25.5">
      <c r="A12" s="2" t="s">
        <v>160</v>
      </c>
      <c r="B12" s="3" t="s">
        <v>597</v>
      </c>
      <c r="C12" s="3" t="s">
        <v>286</v>
      </c>
      <c r="D12" s="4">
        <f>ROUND(28734913.04,2)</f>
        <v>28734913.04</v>
      </c>
      <c r="E12" s="4">
        <f t="shared" si="0"/>
        <v>0</v>
      </c>
      <c r="F12" s="4">
        <f>ROUND(20190231.57,2)</f>
        <v>20190231.57</v>
      </c>
      <c r="G12" s="4">
        <f>ROUND(8544681.47,2)</f>
        <v>8544681.47</v>
      </c>
      <c r="H12" s="4">
        <f>ROUND(11648962.75,2)</f>
        <v>11648962.75</v>
      </c>
      <c r="I12" s="4">
        <f t="shared" si="1"/>
        <v>0</v>
      </c>
      <c r="J12" s="4">
        <f>ROUND(5199749.25,2)</f>
        <v>5199749.25</v>
      </c>
      <c r="K12" s="4">
        <f>ROUND(6449213.5,2)</f>
        <v>6449213.5</v>
      </c>
    </row>
    <row r="13" spans="1:11" ht="25.5">
      <c r="A13" s="2" t="s">
        <v>871</v>
      </c>
      <c r="B13" s="3" t="s">
        <v>103</v>
      </c>
      <c r="C13" s="3" t="s">
        <v>736</v>
      </c>
      <c r="D13" s="4">
        <f>ROUND(2628747.32,2)</f>
        <v>2628747.32</v>
      </c>
      <c r="E13" s="4">
        <f t="shared" si="0"/>
        <v>0</v>
      </c>
      <c r="F13" s="4">
        <f>ROUND(1703489.32,2)</f>
        <v>1703489.32</v>
      </c>
      <c r="G13" s="4">
        <f>ROUND(925258,2)</f>
        <v>925258</v>
      </c>
      <c r="H13" s="4">
        <f>ROUND(2452748.63,2)</f>
        <v>2452748.63</v>
      </c>
      <c r="I13" s="4">
        <f t="shared" si="1"/>
        <v>0</v>
      </c>
      <c r="J13" s="4">
        <f>ROUND(1662531.89,2)</f>
        <v>1662531.89</v>
      </c>
      <c r="K13" s="4">
        <f>ROUND(790216.74,2)</f>
        <v>790216.74</v>
      </c>
    </row>
    <row r="14" spans="1:11" ht="25.5">
      <c r="A14" s="2" t="s">
        <v>412</v>
      </c>
      <c r="B14" s="3" t="s">
        <v>813</v>
      </c>
      <c r="C14" s="3" t="s">
        <v>531</v>
      </c>
      <c r="D14" s="4">
        <f>ROUND(421809,2)</f>
        <v>421809</v>
      </c>
      <c r="E14" s="4">
        <f t="shared" si="0"/>
        <v>0</v>
      </c>
      <c r="F14" s="4">
        <f>ROUND(17500,2)</f>
        <v>17500</v>
      </c>
      <c r="G14" s="4">
        <f>ROUND(404309,2)</f>
        <v>404309</v>
      </c>
      <c r="H14" s="4">
        <f>ROUND(258831.94,2)</f>
        <v>258831.94</v>
      </c>
      <c r="I14" s="4">
        <f t="shared" si="1"/>
        <v>0</v>
      </c>
      <c r="J14" s="4">
        <f>ROUND(0,2)</f>
        <v>0</v>
      </c>
      <c r="K14" s="4">
        <f>ROUND(258831.94,2)</f>
        <v>258831.94</v>
      </c>
    </row>
    <row r="15" spans="1:11" ht="25.5">
      <c r="A15" s="2" t="s">
        <v>948</v>
      </c>
      <c r="B15" s="3" t="s">
        <v>277</v>
      </c>
      <c r="C15" s="3" t="s">
        <v>1008</v>
      </c>
      <c r="D15" s="4">
        <f>ROUND(3292986,2)</f>
        <v>3292986</v>
      </c>
      <c r="E15" s="4">
        <f t="shared" si="0"/>
        <v>0</v>
      </c>
      <c r="F15" s="4">
        <f>ROUND(670686,2)</f>
        <v>670686</v>
      </c>
      <c r="G15" s="4">
        <f>ROUND(2622300,2)</f>
        <v>2622300</v>
      </c>
      <c r="H15" s="4">
        <f>ROUND(2527429.92,2)</f>
        <v>2527429.92</v>
      </c>
      <c r="I15" s="4">
        <f t="shared" si="1"/>
        <v>0</v>
      </c>
      <c r="J15" s="4">
        <f>ROUND(649303.64,2)</f>
        <v>649303.64</v>
      </c>
      <c r="K15" s="4">
        <f>ROUND(1878126.28,2)</f>
        <v>1878126.28</v>
      </c>
    </row>
    <row r="16" spans="1:11" ht="38.25">
      <c r="A16" s="2" t="s">
        <v>1105</v>
      </c>
      <c r="B16" s="3" t="s">
        <v>67</v>
      </c>
      <c r="C16" s="3" t="s">
        <v>815</v>
      </c>
      <c r="D16" s="4">
        <f>ROUND(16471202.68,2)</f>
        <v>16471202.68</v>
      </c>
      <c r="E16" s="4">
        <f t="shared" si="0"/>
        <v>0</v>
      </c>
      <c r="F16" s="4">
        <f>ROUND(14650233.68,2)</f>
        <v>14650233.68</v>
      </c>
      <c r="G16" s="4">
        <f>ROUND(1820969,2)</f>
        <v>1820969</v>
      </c>
      <c r="H16" s="4">
        <f>ROUND(1681668.06,2)</f>
        <v>1681668.06</v>
      </c>
      <c r="I16" s="4">
        <f t="shared" si="1"/>
        <v>0</v>
      </c>
      <c r="J16" s="4">
        <f>ROUND(101490.43,2)</f>
        <v>101490.43</v>
      </c>
      <c r="K16" s="4">
        <f>ROUND(1580177.63,2)</f>
        <v>1580177.63</v>
      </c>
    </row>
    <row r="17" spans="1:11" ht="25.5">
      <c r="A17" s="2" t="s">
        <v>363</v>
      </c>
      <c r="B17" s="3" t="s">
        <v>863</v>
      </c>
      <c r="C17" s="3" t="s">
        <v>867</v>
      </c>
      <c r="D17" s="4">
        <f>ROUND(5920168.04,2)</f>
        <v>5920168.04</v>
      </c>
      <c r="E17" s="4">
        <f t="shared" si="0"/>
        <v>0</v>
      </c>
      <c r="F17" s="4">
        <f>ROUND(3148322.57,2)</f>
        <v>3148322.57</v>
      </c>
      <c r="G17" s="4">
        <f>ROUND(2771845.47,2)</f>
        <v>2771845.47</v>
      </c>
      <c r="H17" s="4">
        <f>ROUND(4728284.2,2)</f>
        <v>4728284.2</v>
      </c>
      <c r="I17" s="4">
        <f t="shared" si="1"/>
        <v>0</v>
      </c>
      <c r="J17" s="4">
        <f>ROUND(2786423.29,2)</f>
        <v>2786423.29</v>
      </c>
      <c r="K17" s="4">
        <f>ROUND(1941860.91,2)</f>
        <v>1941860.91</v>
      </c>
    </row>
    <row r="18" spans="1:11" ht="25.5">
      <c r="A18" s="2" t="s">
        <v>243</v>
      </c>
      <c r="B18" s="3" t="s">
        <v>366</v>
      </c>
      <c r="C18" s="3" t="s">
        <v>1114</v>
      </c>
      <c r="D18" s="4">
        <f>ROUND(2377379.07,2)</f>
        <v>2377379.07</v>
      </c>
      <c r="E18" s="4">
        <f t="shared" si="0"/>
        <v>0</v>
      </c>
      <c r="F18" s="4">
        <f>ROUND(1047773.07,2)</f>
        <v>1047773.07</v>
      </c>
      <c r="G18" s="4">
        <f>ROUND(1329606,2)</f>
        <v>1329606</v>
      </c>
      <c r="H18" s="4">
        <f>ROUND(1478796.26,2)</f>
        <v>1478796.26</v>
      </c>
      <c r="I18" s="4">
        <f t="shared" si="1"/>
        <v>0</v>
      </c>
      <c r="J18" s="4">
        <f>ROUND(542277.02,2)</f>
        <v>542277.02</v>
      </c>
      <c r="K18" s="4">
        <f>ROUND(936519.24,2)</f>
        <v>936519.24</v>
      </c>
    </row>
    <row r="19" spans="1:11" ht="38.25">
      <c r="A19" s="2" t="s">
        <v>1002</v>
      </c>
      <c r="B19" s="3" t="s">
        <v>249</v>
      </c>
      <c r="C19" s="3" t="s">
        <v>926</v>
      </c>
      <c r="D19" s="4">
        <f>ROUND(7838649.06,2)</f>
        <v>7838649.06</v>
      </c>
      <c r="E19" s="4">
        <f t="shared" si="0"/>
        <v>0</v>
      </c>
      <c r="F19" s="4">
        <f>ROUND(2555964.57,2)</f>
        <v>2555964.57</v>
      </c>
      <c r="G19" s="4">
        <f>ROUND(5282684.49,2)</f>
        <v>5282684.49</v>
      </c>
      <c r="H19" s="4">
        <f>ROUND(5967844.15,2)</f>
        <v>5967844.15</v>
      </c>
      <c r="I19" s="4">
        <f t="shared" si="1"/>
        <v>0</v>
      </c>
      <c r="J19" s="4">
        <f>ROUND(1654605.95,2)</f>
        <v>1654605.95</v>
      </c>
      <c r="K19" s="4">
        <f>ROUND(4313238.2,2)</f>
        <v>4313238.2</v>
      </c>
    </row>
    <row r="20" spans="1:11" ht="38.25">
      <c r="A20" s="2" t="s">
        <v>346</v>
      </c>
      <c r="B20" s="3" t="s">
        <v>547</v>
      </c>
      <c r="C20" s="3" t="s">
        <v>1106</v>
      </c>
      <c r="D20" s="4">
        <f>ROUND(2804494.73,2)</f>
        <v>2804494.73</v>
      </c>
      <c r="E20" s="4">
        <f t="shared" si="0"/>
        <v>0</v>
      </c>
      <c r="F20" s="4">
        <f>ROUND(1164520.73,2)</f>
        <v>1164520.73</v>
      </c>
      <c r="G20" s="4">
        <f>ROUND(1639974,2)</f>
        <v>1639974</v>
      </c>
      <c r="H20" s="4">
        <f>ROUND(2392976.34,2)</f>
        <v>2392976.34</v>
      </c>
      <c r="I20" s="4">
        <f t="shared" si="1"/>
        <v>0</v>
      </c>
      <c r="J20" s="4">
        <f>ROUND(816917.65,2)</f>
        <v>816917.65</v>
      </c>
      <c r="K20" s="4">
        <f>ROUND(1576058.69,2)</f>
        <v>1576058.69</v>
      </c>
    </row>
    <row r="21" spans="1:11" ht="51">
      <c r="A21" s="2" t="s">
        <v>968</v>
      </c>
      <c r="B21" s="3" t="s">
        <v>229</v>
      </c>
      <c r="C21" s="3" t="s">
        <v>873</v>
      </c>
      <c r="D21" s="4">
        <f>ROUND(5034154.33,2)</f>
        <v>5034154.33</v>
      </c>
      <c r="E21" s="4">
        <f t="shared" si="0"/>
        <v>0</v>
      </c>
      <c r="F21" s="4">
        <f>ROUND(1391443.84,2)</f>
        <v>1391443.84</v>
      </c>
      <c r="G21" s="4">
        <f>ROUND(3642710.49,2)</f>
        <v>3642710.49</v>
      </c>
      <c r="H21" s="4">
        <f>ROUND(3574867.81,2)</f>
        <v>3574867.81</v>
      </c>
      <c r="I21" s="4">
        <f t="shared" si="1"/>
        <v>0</v>
      </c>
      <c r="J21" s="4">
        <f>ROUND(837688.3,2)</f>
        <v>837688.3</v>
      </c>
      <c r="K21" s="4">
        <f>ROUND(2737179.51,2)</f>
        <v>2737179.51</v>
      </c>
    </row>
    <row r="22" spans="1:11" ht="127.5">
      <c r="A22" s="2" t="s">
        <v>1033</v>
      </c>
      <c r="B22" s="3" t="s">
        <v>781</v>
      </c>
      <c r="C22" s="3" t="s">
        <v>882</v>
      </c>
      <c r="D22" s="4">
        <f>ROUND(2475000,2)</f>
        <v>2475000</v>
      </c>
      <c r="E22" s="4">
        <f t="shared" si="0"/>
        <v>0</v>
      </c>
      <c r="F22" s="4">
        <f>ROUND(2475000,2)</f>
        <v>2475000</v>
      </c>
      <c r="G22" s="4">
        <f aca="true" t="shared" si="2" ref="G22:G30">ROUND(0,2)</f>
        <v>0</v>
      </c>
      <c r="H22" s="4">
        <f>ROUND(1208893.07,2)</f>
        <v>1208893.07</v>
      </c>
      <c r="I22" s="4">
        <f t="shared" si="1"/>
        <v>0</v>
      </c>
      <c r="J22" s="4">
        <f>ROUND(1208893.07,2)</f>
        <v>1208893.07</v>
      </c>
      <c r="K22" s="4">
        <f aca="true" t="shared" si="3" ref="K22:K30">ROUND(0,2)</f>
        <v>0</v>
      </c>
    </row>
    <row r="23" spans="1:11" ht="25.5">
      <c r="A23" s="2" t="s">
        <v>351</v>
      </c>
      <c r="B23" s="3" t="s">
        <v>964</v>
      </c>
      <c r="C23" s="3" t="s">
        <v>114</v>
      </c>
      <c r="D23" s="4">
        <f>ROUND(2475000,2)</f>
        <v>2475000</v>
      </c>
      <c r="E23" s="4">
        <f t="shared" si="0"/>
        <v>0</v>
      </c>
      <c r="F23" s="4">
        <f>ROUND(2475000,2)</f>
        <v>2475000</v>
      </c>
      <c r="G23" s="4">
        <f t="shared" si="2"/>
        <v>0</v>
      </c>
      <c r="H23" s="4">
        <f>ROUND(1208893.07,2)</f>
        <v>1208893.07</v>
      </c>
      <c r="I23" s="4">
        <f t="shared" si="1"/>
        <v>0</v>
      </c>
      <c r="J23" s="4">
        <f>ROUND(1208893.07,2)</f>
        <v>1208893.07</v>
      </c>
      <c r="K23" s="4">
        <f t="shared" si="3"/>
        <v>0</v>
      </c>
    </row>
    <row r="24" spans="1:11" ht="51">
      <c r="A24" s="2" t="s">
        <v>1061</v>
      </c>
      <c r="B24" s="3" t="s">
        <v>656</v>
      </c>
      <c r="C24" s="3" t="s">
        <v>933</v>
      </c>
      <c r="D24" s="4">
        <f>ROUND(2097000,2)</f>
        <v>2097000</v>
      </c>
      <c r="E24" s="4">
        <f t="shared" si="0"/>
        <v>0</v>
      </c>
      <c r="F24" s="4">
        <f>ROUND(2097000,2)</f>
        <v>2097000</v>
      </c>
      <c r="G24" s="4">
        <f t="shared" si="2"/>
        <v>0</v>
      </c>
      <c r="H24" s="4">
        <f>ROUND(1032426.13,2)</f>
        <v>1032426.13</v>
      </c>
      <c r="I24" s="4">
        <f t="shared" si="1"/>
        <v>0</v>
      </c>
      <c r="J24" s="4">
        <f>ROUND(1032426.13,2)</f>
        <v>1032426.13</v>
      </c>
      <c r="K24" s="4">
        <f t="shared" si="3"/>
        <v>0</v>
      </c>
    </row>
    <row r="25" spans="1:11" ht="25.5">
      <c r="A25" s="2" t="s">
        <v>285</v>
      </c>
      <c r="B25" s="3" t="s">
        <v>148</v>
      </c>
      <c r="C25" s="3" t="s">
        <v>227</v>
      </c>
      <c r="D25" s="4">
        <f>ROUND(1463000,2)</f>
        <v>1463000</v>
      </c>
      <c r="E25" s="4">
        <f t="shared" si="0"/>
        <v>0</v>
      </c>
      <c r="F25" s="4">
        <f>ROUND(1463000,2)</f>
        <v>1463000</v>
      </c>
      <c r="G25" s="4">
        <f t="shared" si="2"/>
        <v>0</v>
      </c>
      <c r="H25" s="4">
        <f>ROUND(824954.79,2)</f>
        <v>824954.79</v>
      </c>
      <c r="I25" s="4">
        <f t="shared" si="1"/>
        <v>0</v>
      </c>
      <c r="J25" s="4">
        <f>ROUND(824954.79,2)</f>
        <v>824954.79</v>
      </c>
      <c r="K25" s="4">
        <f t="shared" si="3"/>
        <v>0</v>
      </c>
    </row>
    <row r="26" spans="1:11" ht="38.25">
      <c r="A26" s="2" t="s">
        <v>113</v>
      </c>
      <c r="B26" s="3" t="s">
        <v>238</v>
      </c>
      <c r="C26" s="3" t="s">
        <v>144</v>
      </c>
      <c r="D26" s="4">
        <f>ROUND(634000,2)</f>
        <v>634000</v>
      </c>
      <c r="E26" s="4">
        <f t="shared" si="0"/>
        <v>0</v>
      </c>
      <c r="F26" s="4">
        <f>ROUND(634000,2)</f>
        <v>634000</v>
      </c>
      <c r="G26" s="4">
        <f t="shared" si="2"/>
        <v>0</v>
      </c>
      <c r="H26" s="4">
        <f>ROUND(207471.34,2)</f>
        <v>207471.34</v>
      </c>
      <c r="I26" s="4">
        <f t="shared" si="1"/>
        <v>0</v>
      </c>
      <c r="J26" s="4">
        <f>ROUND(207471.34,2)</f>
        <v>207471.34</v>
      </c>
      <c r="K26" s="4">
        <f t="shared" si="3"/>
        <v>0</v>
      </c>
    </row>
    <row r="27" spans="1:11" ht="25.5">
      <c r="A27" s="2" t="s">
        <v>608</v>
      </c>
      <c r="B27" s="3" t="s">
        <v>358</v>
      </c>
      <c r="C27" s="3" t="s">
        <v>286</v>
      </c>
      <c r="D27" s="4">
        <f>ROUND(376000,2)</f>
        <v>376000</v>
      </c>
      <c r="E27" s="4">
        <f t="shared" si="0"/>
        <v>0</v>
      </c>
      <c r="F27" s="4">
        <f>ROUND(376000,2)</f>
        <v>376000</v>
      </c>
      <c r="G27" s="4">
        <f t="shared" si="2"/>
        <v>0</v>
      </c>
      <c r="H27" s="4">
        <f>ROUND(175429.2,2)</f>
        <v>175429.2</v>
      </c>
      <c r="I27" s="4">
        <f t="shared" si="1"/>
        <v>0</v>
      </c>
      <c r="J27" s="4">
        <f>ROUND(175429.2,2)</f>
        <v>175429.2</v>
      </c>
      <c r="K27" s="4">
        <f t="shared" si="3"/>
        <v>0</v>
      </c>
    </row>
    <row r="28" spans="1:11" ht="25.5">
      <c r="A28" s="2" t="s">
        <v>158</v>
      </c>
      <c r="B28" s="3" t="s">
        <v>1045</v>
      </c>
      <c r="C28" s="3" t="s">
        <v>736</v>
      </c>
      <c r="D28" s="4">
        <f>ROUND(9000,2)</f>
        <v>9000</v>
      </c>
      <c r="E28" s="4">
        <f t="shared" si="0"/>
        <v>0</v>
      </c>
      <c r="F28" s="4">
        <f>ROUND(9000,2)</f>
        <v>9000</v>
      </c>
      <c r="G28" s="4">
        <f t="shared" si="2"/>
        <v>0</v>
      </c>
      <c r="H28" s="4">
        <f>ROUND(4125,2)</f>
        <v>4125</v>
      </c>
      <c r="I28" s="4">
        <f t="shared" si="1"/>
        <v>0</v>
      </c>
      <c r="J28" s="4">
        <f>ROUND(4125,2)</f>
        <v>4125</v>
      </c>
      <c r="K28" s="4">
        <f t="shared" si="3"/>
        <v>0</v>
      </c>
    </row>
    <row r="29" spans="1:11" ht="25.5">
      <c r="A29" s="2" t="s">
        <v>752</v>
      </c>
      <c r="B29" s="3" t="s">
        <v>589</v>
      </c>
      <c r="C29" s="3" t="s">
        <v>867</v>
      </c>
      <c r="D29" s="4">
        <f>ROUND(367000,2)</f>
        <v>367000</v>
      </c>
      <c r="E29" s="4">
        <f t="shared" si="0"/>
        <v>0</v>
      </c>
      <c r="F29" s="4">
        <f>ROUND(367000,2)</f>
        <v>367000</v>
      </c>
      <c r="G29" s="4">
        <f t="shared" si="2"/>
        <v>0</v>
      </c>
      <c r="H29" s="4">
        <f>ROUND(171304.2,2)</f>
        <v>171304.2</v>
      </c>
      <c r="I29" s="4">
        <f t="shared" si="1"/>
        <v>0</v>
      </c>
      <c r="J29" s="4">
        <f>ROUND(171304.2,2)</f>
        <v>171304.2</v>
      </c>
      <c r="K29" s="4">
        <f t="shared" si="3"/>
        <v>0</v>
      </c>
    </row>
    <row r="30" spans="1:11" ht="25.5">
      <c r="A30" s="2" t="s">
        <v>759</v>
      </c>
      <c r="B30" s="3" t="s">
        <v>602</v>
      </c>
      <c r="C30" s="3" t="s">
        <v>1114</v>
      </c>
      <c r="D30" s="4">
        <f>ROUND(2000,2)</f>
        <v>2000</v>
      </c>
      <c r="E30" s="4">
        <f t="shared" si="0"/>
        <v>0</v>
      </c>
      <c r="F30" s="4">
        <f>ROUND(2000,2)</f>
        <v>2000</v>
      </c>
      <c r="G30" s="4">
        <f t="shared" si="2"/>
        <v>0</v>
      </c>
      <c r="H30" s="4">
        <f>ROUND(1037.74,2)</f>
        <v>1037.74</v>
      </c>
      <c r="I30" s="4">
        <f t="shared" si="1"/>
        <v>0</v>
      </c>
      <c r="J30" s="4">
        <f>ROUND(1037.74,2)</f>
        <v>1037.74</v>
      </c>
      <c r="K30" s="4">
        <f t="shared" si="3"/>
        <v>0</v>
      </c>
    </row>
    <row r="31" spans="1:11" ht="165.75">
      <c r="A31" s="2" t="s">
        <v>405</v>
      </c>
      <c r="B31" s="3" t="s">
        <v>251</v>
      </c>
      <c r="C31" s="3" t="s">
        <v>290</v>
      </c>
      <c r="D31" s="4">
        <f>ROUND(80790294.28,2)</f>
        <v>80790294.28</v>
      </c>
      <c r="E31" s="4">
        <f t="shared" si="0"/>
        <v>0</v>
      </c>
      <c r="F31" s="4">
        <f>ROUND(35062079.32,2)</f>
        <v>35062079.32</v>
      </c>
      <c r="G31" s="4">
        <f>ROUND(45728214.96,2)</f>
        <v>45728214.96</v>
      </c>
      <c r="H31" s="4">
        <f>ROUND(57851776.31,2)</f>
        <v>57851776.31</v>
      </c>
      <c r="I31" s="4">
        <f t="shared" si="1"/>
        <v>0</v>
      </c>
      <c r="J31" s="4">
        <f>ROUND(24853995.97,2)</f>
        <v>24853995.97</v>
      </c>
      <c r="K31" s="4">
        <f>ROUND(32997780.34,2)</f>
        <v>32997780.34</v>
      </c>
    </row>
    <row r="32" spans="1:11" ht="25.5">
      <c r="A32" s="2" t="s">
        <v>943</v>
      </c>
      <c r="B32" s="3" t="s">
        <v>443</v>
      </c>
      <c r="C32" s="3" t="s">
        <v>114</v>
      </c>
      <c r="D32" s="4">
        <f>ROUND(73645295.22,2)</f>
        <v>73645295.22</v>
      </c>
      <c r="E32" s="4">
        <f t="shared" si="0"/>
        <v>0</v>
      </c>
      <c r="F32" s="4">
        <f>ROUND(33199764.75,2)</f>
        <v>33199764.75</v>
      </c>
      <c r="G32" s="4">
        <f>ROUND(40445530.47,2)</f>
        <v>40445530.47</v>
      </c>
      <c r="H32" s="4">
        <f>ROUND(51945042.16,2)</f>
        <v>51945042.16</v>
      </c>
      <c r="I32" s="4">
        <f t="shared" si="1"/>
        <v>0</v>
      </c>
      <c r="J32" s="4">
        <f>ROUND(23260500.02,2)</f>
        <v>23260500.02</v>
      </c>
      <c r="K32" s="4">
        <f>ROUND(28684542.14,2)</f>
        <v>28684542.14</v>
      </c>
    </row>
    <row r="33" spans="1:11" ht="51">
      <c r="A33" s="2" t="s">
        <v>489</v>
      </c>
      <c r="B33" s="3" t="s">
        <v>126</v>
      </c>
      <c r="C33" s="3" t="s">
        <v>933</v>
      </c>
      <c r="D33" s="4">
        <f>ROUND(58991383.11,2)</f>
        <v>58991383.11</v>
      </c>
      <c r="E33" s="4">
        <f t="shared" si="0"/>
        <v>0</v>
      </c>
      <c r="F33" s="4">
        <f>ROUND(27711360.11,2)</f>
        <v>27711360.11</v>
      </c>
      <c r="G33" s="4">
        <f>ROUND(31280023,2)</f>
        <v>31280023</v>
      </c>
      <c r="H33" s="4">
        <f>ROUND(39732792.04,2)</f>
        <v>39732792.04</v>
      </c>
      <c r="I33" s="4">
        <f t="shared" si="1"/>
        <v>0</v>
      </c>
      <c r="J33" s="4">
        <f>ROUND(17909279.36,2)</f>
        <v>17909279.36</v>
      </c>
      <c r="K33" s="4">
        <f>ROUND(21823512.68,2)</f>
        <v>21823512.68</v>
      </c>
    </row>
    <row r="34" spans="1:11" ht="25.5">
      <c r="A34" s="2" t="s">
        <v>1131</v>
      </c>
      <c r="B34" s="3" t="s">
        <v>666</v>
      </c>
      <c r="C34" s="3" t="s">
        <v>227</v>
      </c>
      <c r="D34" s="4">
        <f>ROUND(46208710.79,2)</f>
        <v>46208710.79</v>
      </c>
      <c r="E34" s="4">
        <f t="shared" si="0"/>
        <v>0</v>
      </c>
      <c r="F34" s="4">
        <f>ROUND(22012970.79,2)</f>
        <v>22012970.79</v>
      </c>
      <c r="G34" s="4">
        <f>ROUND(24195740,2)</f>
        <v>24195740</v>
      </c>
      <c r="H34" s="4">
        <f>ROUND(31576439.12,2)</f>
        <v>31576439.12</v>
      </c>
      <c r="I34" s="4">
        <f t="shared" si="1"/>
        <v>0</v>
      </c>
      <c r="J34" s="4">
        <f>ROUND(14462346.27,2)</f>
        <v>14462346.27</v>
      </c>
      <c r="K34" s="4">
        <f>ROUND(17114092.85,2)</f>
        <v>17114092.85</v>
      </c>
    </row>
    <row r="35" spans="1:11" ht="25.5">
      <c r="A35" s="2" t="s">
        <v>370</v>
      </c>
      <c r="B35" s="3" t="s">
        <v>261</v>
      </c>
      <c r="C35" s="3" t="s">
        <v>343</v>
      </c>
      <c r="D35" s="4">
        <f>ROUND(13200,2)</f>
        <v>13200</v>
      </c>
      <c r="E35" s="4">
        <f t="shared" si="0"/>
        <v>0</v>
      </c>
      <c r="F35" s="4">
        <f>ROUND(6400,2)</f>
        <v>6400</v>
      </c>
      <c r="G35" s="4">
        <f>ROUND(6800,2)</f>
        <v>6800</v>
      </c>
      <c r="H35" s="4">
        <f>ROUND(5770,2)</f>
        <v>5770</v>
      </c>
      <c r="I35" s="4">
        <f t="shared" si="1"/>
        <v>0</v>
      </c>
      <c r="J35" s="4">
        <f>ROUND(5770,2)</f>
        <v>5770</v>
      </c>
      <c r="K35" s="4">
        <f>ROUND(0,2)</f>
        <v>0</v>
      </c>
    </row>
    <row r="36" spans="1:11" ht="38.25">
      <c r="A36" s="2" t="s">
        <v>1054</v>
      </c>
      <c r="B36" s="3" t="s">
        <v>756</v>
      </c>
      <c r="C36" s="3" t="s">
        <v>144</v>
      </c>
      <c r="D36" s="4">
        <f>ROUND(12769472.32,2)</f>
        <v>12769472.32</v>
      </c>
      <c r="E36" s="4">
        <f t="shared" si="0"/>
        <v>0</v>
      </c>
      <c r="F36" s="4">
        <f>ROUND(5691989.32,2)</f>
        <v>5691989.32</v>
      </c>
      <c r="G36" s="4">
        <f>ROUND(7077483,2)</f>
        <v>7077483</v>
      </c>
      <c r="H36" s="4">
        <f>ROUND(8150582.92,2)</f>
        <v>8150582.92</v>
      </c>
      <c r="I36" s="4">
        <f t="shared" si="1"/>
        <v>0</v>
      </c>
      <c r="J36" s="4">
        <f>ROUND(3441163.09,2)</f>
        <v>3441163.09</v>
      </c>
      <c r="K36" s="4">
        <f>ROUND(4709419.83,2)</f>
        <v>4709419.83</v>
      </c>
    </row>
    <row r="37" spans="1:11" ht="25.5">
      <c r="A37" s="2" t="s">
        <v>376</v>
      </c>
      <c r="B37" s="3" t="s">
        <v>1030</v>
      </c>
      <c r="C37" s="3" t="s">
        <v>286</v>
      </c>
      <c r="D37" s="4">
        <f>ROUND(13678313.04,2)</f>
        <v>13678313.04</v>
      </c>
      <c r="E37" s="4">
        <f t="shared" si="0"/>
        <v>0</v>
      </c>
      <c r="F37" s="4">
        <f>ROUND(5133631.57,2)</f>
        <v>5133631.57</v>
      </c>
      <c r="G37" s="4">
        <f>ROUND(8544681.47,2)</f>
        <v>8544681.47</v>
      </c>
      <c r="H37" s="4">
        <f>ROUND(11449284.88,2)</f>
        <v>11449284.88</v>
      </c>
      <c r="I37" s="4">
        <f t="shared" si="1"/>
        <v>0</v>
      </c>
      <c r="J37" s="4">
        <f>ROUND(5000071.38,2)</f>
        <v>5000071.38</v>
      </c>
      <c r="K37" s="4">
        <f>ROUND(6449213.5,2)</f>
        <v>6449213.5</v>
      </c>
    </row>
    <row r="38" spans="1:11" ht="25.5">
      <c r="A38" s="2" t="s">
        <v>1036</v>
      </c>
      <c r="B38" s="3" t="s">
        <v>383</v>
      </c>
      <c r="C38" s="3" t="s">
        <v>736</v>
      </c>
      <c r="D38" s="4">
        <f>ROUND(2586747.32,2)</f>
        <v>2586747.32</v>
      </c>
      <c r="E38" s="4">
        <f aca="true" t="shared" si="4" ref="E38:E69">ROUND(0,2)</f>
        <v>0</v>
      </c>
      <c r="F38" s="4">
        <f>ROUND(1661489.32,2)</f>
        <v>1661489.32</v>
      </c>
      <c r="G38" s="4">
        <f>ROUND(925258,2)</f>
        <v>925258</v>
      </c>
      <c r="H38" s="4">
        <f>ROUND(2442956.33,2)</f>
        <v>2442956.33</v>
      </c>
      <c r="I38" s="4">
        <f aca="true" t="shared" si="5" ref="I38:I69">ROUND(0,2)</f>
        <v>0</v>
      </c>
      <c r="J38" s="4">
        <f>ROUND(1652739.59,2)</f>
        <v>1652739.59</v>
      </c>
      <c r="K38" s="4">
        <f>ROUND(790216.74,2)</f>
        <v>790216.74</v>
      </c>
    </row>
    <row r="39" spans="1:11" ht="25.5">
      <c r="A39" s="2" t="s">
        <v>310</v>
      </c>
      <c r="B39" s="3" t="s">
        <v>1153</v>
      </c>
      <c r="C39" s="3" t="s">
        <v>531</v>
      </c>
      <c r="D39" s="4">
        <f>ROUND(408809,2)</f>
        <v>408809</v>
      </c>
      <c r="E39" s="4">
        <f t="shared" si="4"/>
        <v>0</v>
      </c>
      <c r="F39" s="4">
        <f>ROUND(4500,2)</f>
        <v>4500</v>
      </c>
      <c r="G39" s="4">
        <f>ROUND(404309,2)</f>
        <v>404309</v>
      </c>
      <c r="H39" s="4">
        <f>ROUND(258831.94,2)</f>
        <v>258831.94</v>
      </c>
      <c r="I39" s="4">
        <f t="shared" si="5"/>
        <v>0</v>
      </c>
      <c r="J39" s="4">
        <f>ROUND(0,2)</f>
        <v>0</v>
      </c>
      <c r="K39" s="4">
        <f>ROUND(258831.94,2)</f>
        <v>258831.94</v>
      </c>
    </row>
    <row r="40" spans="1:11" ht="25.5">
      <c r="A40" s="2" t="s">
        <v>800</v>
      </c>
      <c r="B40" s="3" t="s">
        <v>472</v>
      </c>
      <c r="C40" s="3" t="s">
        <v>1008</v>
      </c>
      <c r="D40" s="4">
        <f>ROUND(3267986,2)</f>
        <v>3267986</v>
      </c>
      <c r="E40" s="4">
        <f t="shared" si="4"/>
        <v>0</v>
      </c>
      <c r="F40" s="4">
        <f>ROUND(645686,2)</f>
        <v>645686</v>
      </c>
      <c r="G40" s="4">
        <f>ROUND(2622300,2)</f>
        <v>2622300</v>
      </c>
      <c r="H40" s="4">
        <f>ROUND(2523429.92,2)</f>
        <v>2523429.92</v>
      </c>
      <c r="I40" s="4">
        <f t="shared" si="5"/>
        <v>0</v>
      </c>
      <c r="J40" s="4">
        <f>ROUND(645303.64,2)</f>
        <v>645303.64</v>
      </c>
      <c r="K40" s="4">
        <f>ROUND(1878126.28,2)</f>
        <v>1878126.28</v>
      </c>
    </row>
    <row r="41" spans="1:11" ht="38.25">
      <c r="A41" s="2" t="s">
        <v>635</v>
      </c>
      <c r="B41" s="3" t="s">
        <v>424</v>
      </c>
      <c r="C41" s="3" t="s">
        <v>815</v>
      </c>
      <c r="D41" s="4">
        <f>ROUND(1952402.68,2)</f>
        <v>1952402.68</v>
      </c>
      <c r="E41" s="4">
        <f t="shared" si="4"/>
        <v>0</v>
      </c>
      <c r="F41" s="4">
        <f>ROUND(131433.68,2)</f>
        <v>131433.68</v>
      </c>
      <c r="G41" s="4">
        <f>ROUND(1820969,2)</f>
        <v>1820969</v>
      </c>
      <c r="H41" s="4">
        <f>ROUND(1679168.06,2)</f>
        <v>1679168.06</v>
      </c>
      <c r="I41" s="4">
        <f t="shared" si="5"/>
        <v>0</v>
      </c>
      <c r="J41" s="4">
        <f>ROUND(98990.43,2)</f>
        <v>98990.43</v>
      </c>
      <c r="K41" s="4">
        <f>ROUND(1580177.63,2)</f>
        <v>1580177.63</v>
      </c>
    </row>
    <row r="42" spans="1:11" ht="25.5">
      <c r="A42" s="2" t="s">
        <v>176</v>
      </c>
      <c r="B42" s="3" t="s">
        <v>1118</v>
      </c>
      <c r="C42" s="3" t="s">
        <v>867</v>
      </c>
      <c r="D42" s="4">
        <f>ROUND(5462368.04,2)</f>
        <v>5462368.04</v>
      </c>
      <c r="E42" s="4">
        <f t="shared" si="4"/>
        <v>0</v>
      </c>
      <c r="F42" s="4">
        <f>ROUND(2690522.57,2)</f>
        <v>2690522.57</v>
      </c>
      <c r="G42" s="4">
        <f>ROUND(2771845.47,2)</f>
        <v>2771845.47</v>
      </c>
      <c r="H42" s="4">
        <f>ROUND(4544898.63,2)</f>
        <v>4544898.63</v>
      </c>
      <c r="I42" s="4">
        <f t="shared" si="5"/>
        <v>0</v>
      </c>
      <c r="J42" s="4">
        <f>ROUND(2603037.72,2)</f>
        <v>2603037.72</v>
      </c>
      <c r="K42" s="4">
        <f>ROUND(1941860.91,2)</f>
        <v>1941860.91</v>
      </c>
    </row>
    <row r="43" spans="1:11" ht="25.5">
      <c r="A43" s="2" t="s">
        <v>435</v>
      </c>
      <c r="B43" s="3" t="s">
        <v>78</v>
      </c>
      <c r="C43" s="3" t="s">
        <v>1114</v>
      </c>
      <c r="D43" s="4">
        <f>ROUND(975599.07,2)</f>
        <v>975599.07</v>
      </c>
      <c r="E43" s="4">
        <f t="shared" si="4"/>
        <v>0</v>
      </c>
      <c r="F43" s="4">
        <f>ROUND(354773.07,2)</f>
        <v>354773.07</v>
      </c>
      <c r="G43" s="4">
        <f>ROUND(620826,2)</f>
        <v>620826</v>
      </c>
      <c r="H43" s="4">
        <f>ROUND(762965.24,2)</f>
        <v>762965.24</v>
      </c>
      <c r="I43" s="4">
        <f t="shared" si="5"/>
        <v>0</v>
      </c>
      <c r="J43" s="4">
        <f>ROUND(351149.28,2)</f>
        <v>351149.28</v>
      </c>
      <c r="K43" s="4">
        <f>ROUND(411815.96,2)</f>
        <v>411815.96</v>
      </c>
    </row>
    <row r="44" spans="1:11" ht="38.25">
      <c r="A44" s="2" t="s">
        <v>905</v>
      </c>
      <c r="B44" s="3" t="s">
        <v>514</v>
      </c>
      <c r="C44" s="3" t="s">
        <v>926</v>
      </c>
      <c r="D44" s="4">
        <f>ROUND(7144999.06,2)</f>
        <v>7144999.06</v>
      </c>
      <c r="E44" s="4">
        <f t="shared" si="4"/>
        <v>0</v>
      </c>
      <c r="F44" s="4">
        <f>ROUND(1862314.57,2)</f>
        <v>1862314.57</v>
      </c>
      <c r="G44" s="4">
        <f>ROUND(5282684.49,2)</f>
        <v>5282684.49</v>
      </c>
      <c r="H44" s="4">
        <f>ROUND(5906734.15,2)</f>
        <v>5906734.15</v>
      </c>
      <c r="I44" s="4">
        <f t="shared" si="5"/>
        <v>0</v>
      </c>
      <c r="J44" s="4">
        <f>ROUND(1593495.95,2)</f>
        <v>1593495.95</v>
      </c>
      <c r="K44" s="4">
        <f>ROUND(4313238.2,2)</f>
        <v>4313238.2</v>
      </c>
    </row>
    <row r="45" spans="1:11" ht="38.25">
      <c r="A45" s="2" t="s">
        <v>202</v>
      </c>
      <c r="B45" s="3" t="s">
        <v>215</v>
      </c>
      <c r="C45" s="3" t="s">
        <v>1106</v>
      </c>
      <c r="D45" s="4">
        <f>ROUND(2698494.73,2)</f>
        <v>2698494.73</v>
      </c>
      <c r="E45" s="4">
        <f t="shared" si="4"/>
        <v>0</v>
      </c>
      <c r="F45" s="4">
        <f>ROUND(1058520.73,2)</f>
        <v>1058520.73</v>
      </c>
      <c r="G45" s="4">
        <f>ROUND(1639974,2)</f>
        <v>1639974</v>
      </c>
      <c r="H45" s="4">
        <f>ROUND(2368137.34,2)</f>
        <v>2368137.34</v>
      </c>
      <c r="I45" s="4">
        <f t="shared" si="5"/>
        <v>0</v>
      </c>
      <c r="J45" s="4">
        <f>ROUND(792078.65,2)</f>
        <v>792078.65</v>
      </c>
      <c r="K45" s="4">
        <f>ROUND(1576058.69,2)</f>
        <v>1576058.69</v>
      </c>
    </row>
    <row r="46" spans="1:11" ht="51">
      <c r="A46" s="2" t="s">
        <v>773</v>
      </c>
      <c r="B46" s="3" t="s">
        <v>491</v>
      </c>
      <c r="C46" s="3" t="s">
        <v>873</v>
      </c>
      <c r="D46" s="4">
        <f>ROUND(4446504.33,2)</f>
        <v>4446504.33</v>
      </c>
      <c r="E46" s="4">
        <f t="shared" si="4"/>
        <v>0</v>
      </c>
      <c r="F46" s="4">
        <f>ROUND(803793.84,2)</f>
        <v>803793.84</v>
      </c>
      <c r="G46" s="4">
        <f>ROUND(3642710.49,2)</f>
        <v>3642710.49</v>
      </c>
      <c r="H46" s="4">
        <f>ROUND(3538596.81,2)</f>
        <v>3538596.81</v>
      </c>
      <c r="I46" s="4">
        <f t="shared" si="5"/>
        <v>0</v>
      </c>
      <c r="J46" s="4">
        <f>ROUND(801417.3,2)</f>
        <v>801417.3</v>
      </c>
      <c r="K46" s="4">
        <f>ROUND(2737179.51,2)</f>
        <v>2737179.51</v>
      </c>
    </row>
    <row r="47" spans="1:11" ht="51">
      <c r="A47" s="2" t="s">
        <v>628</v>
      </c>
      <c r="B47" s="3" t="s">
        <v>1194</v>
      </c>
      <c r="C47" s="3" t="s">
        <v>639</v>
      </c>
      <c r="D47" s="4">
        <f>ROUND(716780,2)</f>
        <v>716780</v>
      </c>
      <c r="E47" s="4">
        <f t="shared" si="4"/>
        <v>0</v>
      </c>
      <c r="F47" s="4">
        <f>ROUND(191000,2)</f>
        <v>191000</v>
      </c>
      <c r="G47" s="4">
        <f>ROUND(525780,2)</f>
        <v>525780</v>
      </c>
      <c r="H47" s="4">
        <f>ROUND(714793.28,2)</f>
        <v>714793.28</v>
      </c>
      <c r="I47" s="4">
        <f t="shared" si="5"/>
        <v>0</v>
      </c>
      <c r="J47" s="4">
        <f>ROUND(190090,2)</f>
        <v>190090</v>
      </c>
      <c r="K47" s="4">
        <f>ROUND(524703.28,2)</f>
        <v>524703.28</v>
      </c>
    </row>
    <row r="48" spans="1:11" ht="25.5">
      <c r="A48" s="2" t="s">
        <v>98</v>
      </c>
      <c r="B48" s="3" t="s">
        <v>694</v>
      </c>
      <c r="C48" s="3" t="s">
        <v>114</v>
      </c>
      <c r="D48" s="4">
        <f>ROUND(716780,2)</f>
        <v>716780</v>
      </c>
      <c r="E48" s="4">
        <f t="shared" si="4"/>
        <v>0</v>
      </c>
      <c r="F48" s="4">
        <f>ROUND(191000,2)</f>
        <v>191000</v>
      </c>
      <c r="G48" s="4">
        <f>ROUND(525780,2)</f>
        <v>525780</v>
      </c>
      <c r="H48" s="4">
        <f>ROUND(714793.28,2)</f>
        <v>714793.28</v>
      </c>
      <c r="I48" s="4">
        <f t="shared" si="5"/>
        <v>0</v>
      </c>
      <c r="J48" s="4">
        <f>ROUND(190090,2)</f>
        <v>190090</v>
      </c>
      <c r="K48" s="4">
        <f>ROUND(524703.28,2)</f>
        <v>524703.28</v>
      </c>
    </row>
    <row r="49" spans="1:11" ht="25.5">
      <c r="A49" s="2" t="s">
        <v>1187</v>
      </c>
      <c r="B49" s="3" t="s">
        <v>1024</v>
      </c>
      <c r="C49" s="3" t="s">
        <v>1114</v>
      </c>
      <c r="D49" s="4">
        <f>ROUND(716780,2)</f>
        <v>716780</v>
      </c>
      <c r="E49" s="4">
        <f t="shared" si="4"/>
        <v>0</v>
      </c>
      <c r="F49" s="4">
        <f>ROUND(191000,2)</f>
        <v>191000</v>
      </c>
      <c r="G49" s="4">
        <f>ROUND(525780,2)</f>
        <v>525780</v>
      </c>
      <c r="H49" s="4">
        <f>ROUND(714793.28,2)</f>
        <v>714793.28</v>
      </c>
      <c r="I49" s="4">
        <f t="shared" si="5"/>
        <v>0</v>
      </c>
      <c r="J49" s="4">
        <f>ROUND(190090,2)</f>
        <v>190090</v>
      </c>
      <c r="K49" s="4">
        <f>ROUND(524703.28,2)</f>
        <v>524703.28</v>
      </c>
    </row>
    <row r="50" spans="1:11" ht="25.5">
      <c r="A50" s="2" t="s">
        <v>915</v>
      </c>
      <c r="B50" s="3" t="s">
        <v>857</v>
      </c>
      <c r="C50" s="3" t="s">
        <v>139</v>
      </c>
      <c r="D50" s="4">
        <f>ROUND(683000,2)</f>
        <v>683000</v>
      </c>
      <c r="E50" s="4">
        <f t="shared" si="4"/>
        <v>0</v>
      </c>
      <c r="F50" s="4">
        <f>ROUND(500000,2)</f>
        <v>500000</v>
      </c>
      <c r="G50" s="4">
        <f>ROUND(183000,2)</f>
        <v>183000</v>
      </c>
      <c r="H50" s="4">
        <f>ROUND(0,2)</f>
        <v>0</v>
      </c>
      <c r="I50" s="4">
        <f t="shared" si="5"/>
        <v>0</v>
      </c>
      <c r="J50" s="4">
        <f aca="true" t="shared" si="6" ref="J50:K52">ROUND(0,2)</f>
        <v>0</v>
      </c>
      <c r="K50" s="4">
        <f t="shared" si="6"/>
        <v>0</v>
      </c>
    </row>
    <row r="51" spans="1:11" ht="25.5">
      <c r="A51" s="2" t="s">
        <v>220</v>
      </c>
      <c r="B51" s="3" t="s">
        <v>1035</v>
      </c>
      <c r="C51" s="3" t="s">
        <v>114</v>
      </c>
      <c r="D51" s="4">
        <f>ROUND(683000,2)</f>
        <v>683000</v>
      </c>
      <c r="E51" s="4">
        <f t="shared" si="4"/>
        <v>0</v>
      </c>
      <c r="F51" s="4">
        <f>ROUND(500000,2)</f>
        <v>500000</v>
      </c>
      <c r="G51" s="4">
        <f>ROUND(183000,2)</f>
        <v>183000</v>
      </c>
      <c r="H51" s="4">
        <f>ROUND(0,2)</f>
        <v>0</v>
      </c>
      <c r="I51" s="4">
        <f t="shared" si="5"/>
        <v>0</v>
      </c>
      <c r="J51" s="4">
        <f t="shared" si="6"/>
        <v>0</v>
      </c>
      <c r="K51" s="4">
        <f t="shared" si="6"/>
        <v>0</v>
      </c>
    </row>
    <row r="52" spans="1:11" ht="25.5">
      <c r="A52" s="2" t="s">
        <v>976</v>
      </c>
      <c r="B52" s="3" t="s">
        <v>703</v>
      </c>
      <c r="C52" s="3" t="s">
        <v>1114</v>
      </c>
      <c r="D52" s="4">
        <f>ROUND(683000,2)</f>
        <v>683000</v>
      </c>
      <c r="E52" s="4">
        <f t="shared" si="4"/>
        <v>0</v>
      </c>
      <c r="F52" s="4">
        <f>ROUND(500000,2)</f>
        <v>500000</v>
      </c>
      <c r="G52" s="4">
        <f>ROUND(183000,2)</f>
        <v>183000</v>
      </c>
      <c r="H52" s="4">
        <f>ROUND(0,2)</f>
        <v>0</v>
      </c>
      <c r="I52" s="4">
        <f t="shared" si="5"/>
        <v>0</v>
      </c>
      <c r="J52" s="4">
        <f t="shared" si="6"/>
        <v>0</v>
      </c>
      <c r="K52" s="4">
        <f t="shared" si="6"/>
        <v>0</v>
      </c>
    </row>
    <row r="53" spans="1:11" ht="38.25">
      <c r="A53" s="2" t="s">
        <v>564</v>
      </c>
      <c r="B53" s="3" t="s">
        <v>269</v>
      </c>
      <c r="C53" s="3" t="s">
        <v>919</v>
      </c>
      <c r="D53" s="4">
        <f>ROUND(17135000,2)</f>
        <v>17135000</v>
      </c>
      <c r="E53" s="4">
        <f t="shared" si="4"/>
        <v>0</v>
      </c>
      <c r="F53" s="4">
        <f>ROUND(17135000,2)</f>
        <v>17135000</v>
      </c>
      <c r="G53" s="4">
        <f aca="true" t="shared" si="7" ref="G53:G67">ROUND(0,2)</f>
        <v>0</v>
      </c>
      <c r="H53" s="4">
        <f>ROUND(1283928.39,2)</f>
        <v>1283928.39</v>
      </c>
      <c r="I53" s="4">
        <f t="shared" si="5"/>
        <v>0</v>
      </c>
      <c r="J53" s="4">
        <f>ROUND(1283928.39,2)</f>
        <v>1283928.39</v>
      </c>
      <c r="K53" s="4">
        <f aca="true" t="shared" si="8" ref="K53:K67">ROUND(0,2)</f>
        <v>0</v>
      </c>
    </row>
    <row r="54" spans="1:11" ht="25.5">
      <c r="A54" s="2" t="s">
        <v>1091</v>
      </c>
      <c r="B54" s="3" t="s">
        <v>423</v>
      </c>
      <c r="C54" s="3" t="s">
        <v>114</v>
      </c>
      <c r="D54" s="4">
        <f>ROUND(16441350,2)</f>
        <v>16441350</v>
      </c>
      <c r="E54" s="4">
        <f t="shared" si="4"/>
        <v>0</v>
      </c>
      <c r="F54" s="4">
        <f>ROUND(16441350,2)</f>
        <v>16441350</v>
      </c>
      <c r="G54" s="4">
        <f t="shared" si="7"/>
        <v>0</v>
      </c>
      <c r="H54" s="4">
        <f>ROUND(1222818.39,2)</f>
        <v>1222818.39</v>
      </c>
      <c r="I54" s="4">
        <f t="shared" si="5"/>
        <v>0</v>
      </c>
      <c r="J54" s="4">
        <f>ROUND(1222818.39,2)</f>
        <v>1222818.39</v>
      </c>
      <c r="K54" s="4">
        <f t="shared" si="8"/>
        <v>0</v>
      </c>
    </row>
    <row r="55" spans="1:11" ht="51">
      <c r="A55" s="2" t="s">
        <v>530</v>
      </c>
      <c r="B55" s="3" t="s">
        <v>110</v>
      </c>
      <c r="C55" s="3" t="s">
        <v>933</v>
      </c>
      <c r="D55" s="4">
        <f>ROUND(1760750,2)</f>
        <v>1760750</v>
      </c>
      <c r="E55" s="4">
        <f t="shared" si="4"/>
        <v>0</v>
      </c>
      <c r="F55" s="4">
        <f>ROUND(1760750,2)</f>
        <v>1760750</v>
      </c>
      <c r="G55" s="4">
        <f t="shared" si="7"/>
        <v>0</v>
      </c>
      <c r="H55" s="4">
        <f>ROUND(1198569.72,2)</f>
        <v>1198569.72</v>
      </c>
      <c r="I55" s="4">
        <f t="shared" si="5"/>
        <v>0</v>
      </c>
      <c r="J55" s="4">
        <f>ROUND(1198569.72,2)</f>
        <v>1198569.72</v>
      </c>
      <c r="K55" s="4">
        <f t="shared" si="8"/>
        <v>0</v>
      </c>
    </row>
    <row r="56" spans="1:11" ht="25.5">
      <c r="A56" s="2" t="s">
        <v>112</v>
      </c>
      <c r="B56" s="3" t="s">
        <v>606</v>
      </c>
      <c r="C56" s="3" t="s">
        <v>227</v>
      </c>
      <c r="D56" s="4">
        <f>ROUND(1354207.37,2)</f>
        <v>1354207.37</v>
      </c>
      <c r="E56" s="4">
        <f t="shared" si="4"/>
        <v>0</v>
      </c>
      <c r="F56" s="4">
        <f>ROUND(1354207.37,2)</f>
        <v>1354207.37</v>
      </c>
      <c r="G56" s="4">
        <f t="shared" si="7"/>
        <v>0</v>
      </c>
      <c r="H56" s="4">
        <f>ROUND(925695.8,2)</f>
        <v>925695.8</v>
      </c>
      <c r="I56" s="4">
        <f t="shared" si="5"/>
        <v>0</v>
      </c>
      <c r="J56" s="4">
        <f>ROUND(925695.8,2)</f>
        <v>925695.8</v>
      </c>
      <c r="K56" s="4">
        <f t="shared" si="8"/>
        <v>0</v>
      </c>
    </row>
    <row r="57" spans="1:11" ht="25.5">
      <c r="A57" s="2" t="s">
        <v>609</v>
      </c>
      <c r="B57" s="3" t="s">
        <v>281</v>
      </c>
      <c r="C57" s="3" t="s">
        <v>343</v>
      </c>
      <c r="D57" s="4">
        <f>ROUND(750,2)</f>
        <v>750</v>
      </c>
      <c r="E57" s="4">
        <f t="shared" si="4"/>
        <v>0</v>
      </c>
      <c r="F57" s="4">
        <f>ROUND(750,2)</f>
        <v>750</v>
      </c>
      <c r="G57" s="4">
        <f t="shared" si="7"/>
        <v>0</v>
      </c>
      <c r="H57" s="4">
        <f>ROUND(750,2)</f>
        <v>750</v>
      </c>
      <c r="I57" s="4">
        <f t="shared" si="5"/>
        <v>0</v>
      </c>
      <c r="J57" s="4">
        <f>ROUND(750,2)</f>
        <v>750</v>
      </c>
      <c r="K57" s="4">
        <f t="shared" si="8"/>
        <v>0</v>
      </c>
    </row>
    <row r="58" spans="1:11" ht="38.25">
      <c r="A58" s="2" t="s">
        <v>284</v>
      </c>
      <c r="B58" s="3" t="s">
        <v>824</v>
      </c>
      <c r="C58" s="3" t="s">
        <v>144</v>
      </c>
      <c r="D58" s="4">
        <f>ROUND(405792.63,2)</f>
        <v>405792.63</v>
      </c>
      <c r="E58" s="4">
        <f t="shared" si="4"/>
        <v>0</v>
      </c>
      <c r="F58" s="4">
        <f>ROUND(405792.63,2)</f>
        <v>405792.63</v>
      </c>
      <c r="G58" s="4">
        <f t="shared" si="7"/>
        <v>0</v>
      </c>
      <c r="H58" s="4">
        <f>ROUND(272123.92,2)</f>
        <v>272123.92</v>
      </c>
      <c r="I58" s="4">
        <f t="shared" si="5"/>
        <v>0</v>
      </c>
      <c r="J58" s="4">
        <f>ROUND(272123.92,2)</f>
        <v>272123.92</v>
      </c>
      <c r="K58" s="4">
        <f t="shared" si="8"/>
        <v>0</v>
      </c>
    </row>
    <row r="59" spans="1:11" ht="25.5">
      <c r="A59" s="2" t="s">
        <v>826</v>
      </c>
      <c r="B59" s="3" t="s">
        <v>1009</v>
      </c>
      <c r="C59" s="3" t="s">
        <v>286</v>
      </c>
      <c r="D59" s="4">
        <f>ROUND(14680600,2)</f>
        <v>14680600</v>
      </c>
      <c r="E59" s="4">
        <f t="shared" si="4"/>
        <v>0</v>
      </c>
      <c r="F59" s="4">
        <f>ROUND(14680600,2)</f>
        <v>14680600</v>
      </c>
      <c r="G59" s="4">
        <f t="shared" si="7"/>
        <v>0</v>
      </c>
      <c r="H59" s="4">
        <f>ROUND(24248.67,2)</f>
        <v>24248.67</v>
      </c>
      <c r="I59" s="4">
        <f t="shared" si="5"/>
        <v>0</v>
      </c>
      <c r="J59" s="4">
        <f>ROUND(24248.67,2)</f>
        <v>24248.67</v>
      </c>
      <c r="K59" s="4">
        <f t="shared" si="8"/>
        <v>0</v>
      </c>
    </row>
    <row r="60" spans="1:11" ht="25.5">
      <c r="A60" s="2" t="s">
        <v>63</v>
      </c>
      <c r="B60" s="3" t="s">
        <v>327</v>
      </c>
      <c r="C60" s="3" t="s">
        <v>736</v>
      </c>
      <c r="D60" s="4">
        <f>ROUND(33000,2)</f>
        <v>33000</v>
      </c>
      <c r="E60" s="4">
        <f t="shared" si="4"/>
        <v>0</v>
      </c>
      <c r="F60" s="4">
        <f>ROUND(33000,2)</f>
        <v>33000</v>
      </c>
      <c r="G60" s="4">
        <f t="shared" si="7"/>
        <v>0</v>
      </c>
      <c r="H60" s="4">
        <f>ROUND(5667.3,2)</f>
        <v>5667.3</v>
      </c>
      <c r="I60" s="4">
        <f t="shared" si="5"/>
        <v>0</v>
      </c>
      <c r="J60" s="4">
        <f>ROUND(5667.3,2)</f>
        <v>5667.3</v>
      </c>
      <c r="K60" s="4">
        <f t="shared" si="8"/>
        <v>0</v>
      </c>
    </row>
    <row r="61" spans="1:11" ht="25.5">
      <c r="A61" s="2" t="s">
        <v>725</v>
      </c>
      <c r="B61" s="3" t="s">
        <v>1170</v>
      </c>
      <c r="C61" s="3" t="s">
        <v>531</v>
      </c>
      <c r="D61" s="4">
        <f>ROUND(13000,2)</f>
        <v>13000</v>
      </c>
      <c r="E61" s="4">
        <f t="shared" si="4"/>
        <v>0</v>
      </c>
      <c r="F61" s="4">
        <f>ROUND(13000,2)</f>
        <v>13000</v>
      </c>
      <c r="G61" s="4">
        <f t="shared" si="7"/>
        <v>0</v>
      </c>
      <c r="H61" s="4">
        <f>ROUND(0,2)</f>
        <v>0</v>
      </c>
      <c r="I61" s="4">
        <f t="shared" si="5"/>
        <v>0</v>
      </c>
      <c r="J61" s="4">
        <f>ROUND(0,2)</f>
        <v>0</v>
      </c>
      <c r="K61" s="4">
        <f t="shared" si="8"/>
        <v>0</v>
      </c>
    </row>
    <row r="62" spans="1:11" ht="25.5">
      <c r="A62" s="2" t="s">
        <v>157</v>
      </c>
      <c r="B62" s="3" t="s">
        <v>524</v>
      </c>
      <c r="C62" s="3" t="s">
        <v>1008</v>
      </c>
      <c r="D62" s="4">
        <f>ROUND(25000,2)</f>
        <v>25000</v>
      </c>
      <c r="E62" s="4">
        <f t="shared" si="4"/>
        <v>0</v>
      </c>
      <c r="F62" s="4">
        <f>ROUND(25000,2)</f>
        <v>25000</v>
      </c>
      <c r="G62" s="4">
        <f t="shared" si="7"/>
        <v>0</v>
      </c>
      <c r="H62" s="4">
        <f>ROUND(4000,2)</f>
        <v>4000</v>
      </c>
      <c r="I62" s="4">
        <f t="shared" si="5"/>
        <v>0</v>
      </c>
      <c r="J62" s="4">
        <f>ROUND(4000,2)</f>
        <v>4000</v>
      </c>
      <c r="K62" s="4">
        <f t="shared" si="8"/>
        <v>0</v>
      </c>
    </row>
    <row r="63" spans="1:11" ht="38.25">
      <c r="A63" s="2" t="s">
        <v>171</v>
      </c>
      <c r="B63" s="3" t="s">
        <v>442</v>
      </c>
      <c r="C63" s="3" t="s">
        <v>815</v>
      </c>
      <c r="D63" s="4">
        <f>ROUND(14518800,2)</f>
        <v>14518800</v>
      </c>
      <c r="E63" s="4">
        <f t="shared" si="4"/>
        <v>0</v>
      </c>
      <c r="F63" s="4">
        <f>ROUND(14518800,2)</f>
        <v>14518800</v>
      </c>
      <c r="G63" s="4">
        <f t="shared" si="7"/>
        <v>0</v>
      </c>
      <c r="H63" s="4">
        <f>ROUND(2500,2)</f>
        <v>2500</v>
      </c>
      <c r="I63" s="4">
        <f t="shared" si="5"/>
        <v>0</v>
      </c>
      <c r="J63" s="4">
        <f>ROUND(2500,2)</f>
        <v>2500</v>
      </c>
      <c r="K63" s="4">
        <f t="shared" si="8"/>
        <v>0</v>
      </c>
    </row>
    <row r="64" spans="1:11" ht="25.5">
      <c r="A64" s="2" t="s">
        <v>852</v>
      </c>
      <c r="B64" s="3" t="s">
        <v>1069</v>
      </c>
      <c r="C64" s="3" t="s">
        <v>867</v>
      </c>
      <c r="D64" s="4">
        <f>ROUND(90800,2)</f>
        <v>90800</v>
      </c>
      <c r="E64" s="4">
        <f t="shared" si="4"/>
        <v>0</v>
      </c>
      <c r="F64" s="4">
        <f>ROUND(90800,2)</f>
        <v>90800</v>
      </c>
      <c r="G64" s="4">
        <f t="shared" si="7"/>
        <v>0</v>
      </c>
      <c r="H64" s="4">
        <f>ROUND(12081.37,2)</f>
        <v>12081.37</v>
      </c>
      <c r="I64" s="4">
        <f t="shared" si="5"/>
        <v>0</v>
      </c>
      <c r="J64" s="4">
        <f>ROUND(12081.37,2)</f>
        <v>12081.37</v>
      </c>
      <c r="K64" s="4">
        <f t="shared" si="8"/>
        <v>0</v>
      </c>
    </row>
    <row r="65" spans="1:11" ht="38.25">
      <c r="A65" s="2" t="s">
        <v>107</v>
      </c>
      <c r="B65" s="3" t="s">
        <v>461</v>
      </c>
      <c r="C65" s="3" t="s">
        <v>926</v>
      </c>
      <c r="D65" s="4">
        <f>ROUND(693650,2)</f>
        <v>693650</v>
      </c>
      <c r="E65" s="4">
        <f t="shared" si="4"/>
        <v>0</v>
      </c>
      <c r="F65" s="4">
        <f>ROUND(693650,2)</f>
        <v>693650</v>
      </c>
      <c r="G65" s="4">
        <f t="shared" si="7"/>
        <v>0</v>
      </c>
      <c r="H65" s="4">
        <f>ROUND(61110,2)</f>
        <v>61110</v>
      </c>
      <c r="I65" s="4">
        <f t="shared" si="5"/>
        <v>0</v>
      </c>
      <c r="J65" s="4">
        <f>ROUND(61110,2)</f>
        <v>61110</v>
      </c>
      <c r="K65" s="4">
        <f t="shared" si="8"/>
        <v>0</v>
      </c>
    </row>
    <row r="66" spans="1:11" ht="38.25">
      <c r="A66" s="2" t="s">
        <v>819</v>
      </c>
      <c r="B66" s="3" t="s">
        <v>150</v>
      </c>
      <c r="C66" s="3" t="s">
        <v>1106</v>
      </c>
      <c r="D66" s="4">
        <f>ROUND(106000,2)</f>
        <v>106000</v>
      </c>
      <c r="E66" s="4">
        <f t="shared" si="4"/>
        <v>0</v>
      </c>
      <c r="F66" s="4">
        <f>ROUND(106000,2)</f>
        <v>106000</v>
      </c>
      <c r="G66" s="4">
        <f t="shared" si="7"/>
        <v>0</v>
      </c>
      <c r="H66" s="4">
        <f>ROUND(24839,2)</f>
        <v>24839</v>
      </c>
      <c r="I66" s="4">
        <f t="shared" si="5"/>
        <v>0</v>
      </c>
      <c r="J66" s="4">
        <f>ROUND(24839,2)</f>
        <v>24839</v>
      </c>
      <c r="K66" s="4">
        <f t="shared" si="8"/>
        <v>0</v>
      </c>
    </row>
    <row r="67" spans="1:11" ht="51">
      <c r="A67" s="2" t="s">
        <v>293</v>
      </c>
      <c r="B67" s="3" t="s">
        <v>481</v>
      </c>
      <c r="C67" s="3" t="s">
        <v>873</v>
      </c>
      <c r="D67" s="4">
        <f>ROUND(587650,2)</f>
        <v>587650</v>
      </c>
      <c r="E67" s="4">
        <f t="shared" si="4"/>
        <v>0</v>
      </c>
      <c r="F67" s="4">
        <f>ROUND(587650,2)</f>
        <v>587650</v>
      </c>
      <c r="G67" s="4">
        <f t="shared" si="7"/>
        <v>0</v>
      </c>
      <c r="H67" s="4">
        <f>ROUND(36271,2)</f>
        <v>36271</v>
      </c>
      <c r="I67" s="4">
        <f t="shared" si="5"/>
        <v>0</v>
      </c>
      <c r="J67" s="4">
        <f>ROUND(36271,2)</f>
        <v>36271</v>
      </c>
      <c r="K67" s="4">
        <f t="shared" si="8"/>
        <v>0</v>
      </c>
    </row>
    <row r="68" spans="1:11" ht="25.5">
      <c r="A68" s="2" t="s">
        <v>838</v>
      </c>
      <c r="B68" s="3" t="s">
        <v>207</v>
      </c>
      <c r="C68" s="3" t="s">
        <v>660</v>
      </c>
      <c r="D68" s="4">
        <f>ROUND(1998900,2)</f>
        <v>1998900</v>
      </c>
      <c r="E68" s="4">
        <f t="shared" si="4"/>
        <v>0</v>
      </c>
      <c r="F68" s="4">
        <f>ROUND(70000,2)</f>
        <v>70000</v>
      </c>
      <c r="G68" s="4">
        <f>ROUND(1928900,2)</f>
        <v>1928900</v>
      </c>
      <c r="H68" s="4">
        <f>ROUND(902634.04,2)</f>
        <v>902634.04</v>
      </c>
      <c r="I68" s="4">
        <f t="shared" si="5"/>
        <v>0</v>
      </c>
      <c r="J68" s="4">
        <f>ROUND(70000,2)</f>
        <v>70000</v>
      </c>
      <c r="K68" s="4">
        <f>ROUND(832634.04,2)</f>
        <v>832634.04</v>
      </c>
    </row>
    <row r="69" spans="1:11" ht="25.5">
      <c r="A69" s="2" t="s">
        <v>47</v>
      </c>
      <c r="B69" s="3" t="s">
        <v>326</v>
      </c>
      <c r="C69" s="3" t="s">
        <v>114</v>
      </c>
      <c r="D69" s="4">
        <f>ROUND(1852765,2)</f>
        <v>1852765</v>
      </c>
      <c r="E69" s="4">
        <f t="shared" si="4"/>
        <v>0</v>
      </c>
      <c r="F69" s="4">
        <f>ROUND(70000,2)</f>
        <v>70000</v>
      </c>
      <c r="G69" s="4">
        <f>ROUND(1782765,2)</f>
        <v>1782765</v>
      </c>
      <c r="H69" s="4">
        <f>ROUND(870139.79,2)</f>
        <v>870139.79</v>
      </c>
      <c r="I69" s="4">
        <f t="shared" si="5"/>
        <v>0</v>
      </c>
      <c r="J69" s="4">
        <f>ROUND(70000,2)</f>
        <v>70000</v>
      </c>
      <c r="K69" s="4">
        <f>ROUND(800139.79,2)</f>
        <v>800139.79</v>
      </c>
    </row>
    <row r="70" spans="1:11" ht="51">
      <c r="A70" s="2" t="s">
        <v>741</v>
      </c>
      <c r="B70" s="3" t="s">
        <v>18</v>
      </c>
      <c r="C70" s="3" t="s">
        <v>933</v>
      </c>
      <c r="D70" s="4">
        <f>ROUND(1654592,2)</f>
        <v>1654592</v>
      </c>
      <c r="E70" s="4">
        <f aca="true" t="shared" si="9" ref="E70:E101">ROUND(0,2)</f>
        <v>0</v>
      </c>
      <c r="F70" s="4">
        <f>ROUND(0,2)</f>
        <v>0</v>
      </c>
      <c r="G70" s="4">
        <f>ROUND(1654592,2)</f>
        <v>1654592</v>
      </c>
      <c r="H70" s="4">
        <f>ROUND(780508.5,2)</f>
        <v>780508.5</v>
      </c>
      <c r="I70" s="4">
        <f aca="true" t="shared" si="10" ref="I70:I101">ROUND(0,2)</f>
        <v>0</v>
      </c>
      <c r="J70" s="4">
        <f>ROUND(0,2)</f>
        <v>0</v>
      </c>
      <c r="K70" s="4">
        <f>ROUND(780508.5,2)</f>
        <v>780508.5</v>
      </c>
    </row>
    <row r="71" spans="1:11" ht="25.5">
      <c r="A71" s="2" t="s">
        <v>308</v>
      </c>
      <c r="B71" s="3" t="s">
        <v>712</v>
      </c>
      <c r="C71" s="3" t="s">
        <v>227</v>
      </c>
      <c r="D71" s="4">
        <f>ROUND(1263890,2)</f>
        <v>1263890</v>
      </c>
      <c r="E71" s="4">
        <f t="shared" si="9"/>
        <v>0</v>
      </c>
      <c r="F71" s="4">
        <f>ROUND(0,2)</f>
        <v>0</v>
      </c>
      <c r="G71" s="4">
        <f>ROUND(1263890,2)</f>
        <v>1263890</v>
      </c>
      <c r="H71" s="4">
        <f>ROUND(621254.12,2)</f>
        <v>621254.12</v>
      </c>
      <c r="I71" s="4">
        <f t="shared" si="10"/>
        <v>0</v>
      </c>
      <c r="J71" s="4">
        <f>ROUND(0,2)</f>
        <v>0</v>
      </c>
      <c r="K71" s="4">
        <f>ROUND(621254.12,2)</f>
        <v>621254.12</v>
      </c>
    </row>
    <row r="72" spans="1:11" ht="38.25">
      <c r="A72" s="2" t="s">
        <v>87</v>
      </c>
      <c r="B72" s="3" t="s">
        <v>885</v>
      </c>
      <c r="C72" s="3" t="s">
        <v>144</v>
      </c>
      <c r="D72" s="4">
        <f>ROUND(390702,2)</f>
        <v>390702</v>
      </c>
      <c r="E72" s="4">
        <f t="shared" si="9"/>
        <v>0</v>
      </c>
      <c r="F72" s="4">
        <f>ROUND(0,2)</f>
        <v>0</v>
      </c>
      <c r="G72" s="4">
        <f>ROUND(390702,2)</f>
        <v>390702</v>
      </c>
      <c r="H72" s="4">
        <f>ROUND(159254.38,2)</f>
        <v>159254.38</v>
      </c>
      <c r="I72" s="4">
        <f t="shared" si="10"/>
        <v>0</v>
      </c>
      <c r="J72" s="4">
        <f>ROUND(0,2)</f>
        <v>0</v>
      </c>
      <c r="K72" s="4">
        <f>ROUND(159254.38,2)</f>
        <v>159254.38</v>
      </c>
    </row>
    <row r="73" spans="1:11" ht="25.5">
      <c r="A73" s="2" t="s">
        <v>634</v>
      </c>
      <c r="B73" s="3" t="s">
        <v>917</v>
      </c>
      <c r="C73" s="3" t="s">
        <v>286</v>
      </c>
      <c r="D73" s="4">
        <f>ROUND(198173,2)</f>
        <v>198173</v>
      </c>
      <c r="E73" s="4">
        <f t="shared" si="9"/>
        <v>0</v>
      </c>
      <c r="F73" s="4">
        <f>ROUND(70000,2)</f>
        <v>70000</v>
      </c>
      <c r="G73" s="4">
        <f>ROUND(128173,2)</f>
        <v>128173</v>
      </c>
      <c r="H73" s="4">
        <f>ROUND(89631.29,2)</f>
        <v>89631.29</v>
      </c>
      <c r="I73" s="4">
        <f t="shared" si="10"/>
        <v>0</v>
      </c>
      <c r="J73" s="4">
        <f>ROUND(70000,2)</f>
        <v>70000</v>
      </c>
      <c r="K73" s="4">
        <f>ROUND(19631.29,2)</f>
        <v>19631.29</v>
      </c>
    </row>
    <row r="74" spans="1:11" ht="25.5">
      <c r="A74" s="2" t="s">
        <v>90</v>
      </c>
      <c r="B74" s="3" t="s">
        <v>422</v>
      </c>
      <c r="C74" s="3" t="s">
        <v>736</v>
      </c>
      <c r="D74" s="4">
        <f>ROUND(35048,2)</f>
        <v>35048</v>
      </c>
      <c r="E74" s="4">
        <f t="shared" si="9"/>
        <v>0</v>
      </c>
      <c r="F74" s="4">
        <f>ROUND(0,2)</f>
        <v>0</v>
      </c>
      <c r="G74" s="4">
        <f>ROUND(35048,2)</f>
        <v>35048</v>
      </c>
      <c r="H74" s="4">
        <f>ROUND(11444.37,2)</f>
        <v>11444.37</v>
      </c>
      <c r="I74" s="4">
        <f t="shared" si="10"/>
        <v>0</v>
      </c>
      <c r="J74" s="4">
        <f>ROUND(0,2)</f>
        <v>0</v>
      </c>
      <c r="K74" s="4">
        <f>ROUND(11444.37,2)</f>
        <v>11444.37</v>
      </c>
    </row>
    <row r="75" spans="1:11" ht="25.5">
      <c r="A75" s="2" t="s">
        <v>613</v>
      </c>
      <c r="B75" s="3" t="s">
        <v>1117</v>
      </c>
      <c r="C75" s="3" t="s">
        <v>531</v>
      </c>
      <c r="D75" s="4">
        <f>ROUND(17700,2)</f>
        <v>17700</v>
      </c>
      <c r="E75" s="4">
        <f t="shared" si="9"/>
        <v>0</v>
      </c>
      <c r="F75" s="4">
        <f>ROUND(0,2)</f>
        <v>0</v>
      </c>
      <c r="G75" s="4">
        <f>ROUND(17700,2)</f>
        <v>17700</v>
      </c>
      <c r="H75" s="4">
        <f>ROUND(1156.9,2)</f>
        <v>1156.9</v>
      </c>
      <c r="I75" s="4">
        <f t="shared" si="10"/>
        <v>0</v>
      </c>
      <c r="J75" s="4">
        <f>ROUND(0,2)</f>
        <v>0</v>
      </c>
      <c r="K75" s="4">
        <f>ROUND(1156.9,2)</f>
        <v>1156.9</v>
      </c>
    </row>
    <row r="76" spans="1:11" ht="25.5">
      <c r="A76" s="2" t="s">
        <v>263</v>
      </c>
      <c r="B76" s="3" t="s">
        <v>573</v>
      </c>
      <c r="C76" s="3" t="s">
        <v>1008</v>
      </c>
      <c r="D76" s="4">
        <f>ROUND(53575,2)</f>
        <v>53575</v>
      </c>
      <c r="E76" s="4">
        <f t="shared" si="9"/>
        <v>0</v>
      </c>
      <c r="F76" s="4">
        <f>ROUND(0,2)</f>
        <v>0</v>
      </c>
      <c r="G76" s="4">
        <f>ROUND(53575,2)</f>
        <v>53575</v>
      </c>
      <c r="H76" s="4">
        <f>ROUND(5380.02,2)</f>
        <v>5380.02</v>
      </c>
      <c r="I76" s="4">
        <f t="shared" si="10"/>
        <v>0</v>
      </c>
      <c r="J76" s="4">
        <f>ROUND(0,2)</f>
        <v>0</v>
      </c>
      <c r="K76" s="4">
        <f>ROUND(5380.02,2)</f>
        <v>5380.02</v>
      </c>
    </row>
    <row r="77" spans="1:11" ht="38.25">
      <c r="A77" s="2" t="s">
        <v>753</v>
      </c>
      <c r="B77" s="3" t="s">
        <v>1029</v>
      </c>
      <c r="C77" s="3" t="s">
        <v>638</v>
      </c>
      <c r="D77" s="4">
        <f>ROUND(14250,2)</f>
        <v>14250</v>
      </c>
      <c r="E77" s="4">
        <f t="shared" si="9"/>
        <v>0</v>
      </c>
      <c r="F77" s="4">
        <f>ROUND(0,2)</f>
        <v>0</v>
      </c>
      <c r="G77" s="4">
        <f>ROUND(14250,2)</f>
        <v>14250</v>
      </c>
      <c r="H77" s="4">
        <f>ROUND(250,2)</f>
        <v>250</v>
      </c>
      <c r="I77" s="4">
        <f t="shared" si="10"/>
        <v>0</v>
      </c>
      <c r="J77" s="4">
        <f>ROUND(0,2)</f>
        <v>0</v>
      </c>
      <c r="K77" s="4">
        <f>ROUND(250,2)</f>
        <v>250</v>
      </c>
    </row>
    <row r="78" spans="1:11" ht="38.25">
      <c r="A78" s="2" t="s">
        <v>130</v>
      </c>
      <c r="B78" s="3" t="s">
        <v>382</v>
      </c>
      <c r="C78" s="3" t="s">
        <v>815</v>
      </c>
      <c r="D78" s="4">
        <f>ROUND(6400,2)</f>
        <v>6400</v>
      </c>
      <c r="E78" s="4">
        <f t="shared" si="9"/>
        <v>0</v>
      </c>
      <c r="F78" s="4">
        <f>ROUND(0,2)</f>
        <v>0</v>
      </c>
      <c r="G78" s="4">
        <f>ROUND(6400,2)</f>
        <v>6400</v>
      </c>
      <c r="H78" s="4">
        <f>ROUND(1400,2)</f>
        <v>1400</v>
      </c>
      <c r="I78" s="4">
        <f t="shared" si="10"/>
        <v>0</v>
      </c>
      <c r="J78" s="4">
        <f>ROUND(0,2)</f>
        <v>0</v>
      </c>
      <c r="K78" s="4">
        <f>ROUND(1400,2)</f>
        <v>1400</v>
      </c>
    </row>
    <row r="79" spans="1:11" ht="25.5">
      <c r="A79" s="2" t="s">
        <v>669</v>
      </c>
      <c r="B79" s="3" t="s">
        <v>1151</v>
      </c>
      <c r="C79" s="3" t="s">
        <v>867</v>
      </c>
      <c r="D79" s="4">
        <f>ROUND(71200,2)</f>
        <v>71200</v>
      </c>
      <c r="E79" s="4">
        <f t="shared" si="9"/>
        <v>0</v>
      </c>
      <c r="F79" s="4">
        <f>ROUND(70000,2)</f>
        <v>70000</v>
      </c>
      <c r="G79" s="4">
        <f>ROUND(1200,2)</f>
        <v>1200</v>
      </c>
      <c r="H79" s="4">
        <f>ROUND(70000,2)</f>
        <v>70000</v>
      </c>
      <c r="I79" s="4">
        <f t="shared" si="10"/>
        <v>0</v>
      </c>
      <c r="J79" s="4">
        <f>ROUND(70000,2)</f>
        <v>70000</v>
      </c>
      <c r="K79" s="4">
        <f>ROUND(0,2)</f>
        <v>0</v>
      </c>
    </row>
    <row r="80" spans="1:11" ht="38.25">
      <c r="A80" s="2" t="s">
        <v>399</v>
      </c>
      <c r="B80" s="3" t="s">
        <v>556</v>
      </c>
      <c r="C80" s="3" t="s">
        <v>926</v>
      </c>
      <c r="D80" s="4">
        <f>ROUND(146135,2)</f>
        <v>146135</v>
      </c>
      <c r="E80" s="4">
        <f t="shared" si="9"/>
        <v>0</v>
      </c>
      <c r="F80" s="4">
        <f aca="true" t="shared" si="11" ref="F80:F97">ROUND(0,2)</f>
        <v>0</v>
      </c>
      <c r="G80" s="4">
        <f>ROUND(146135,2)</f>
        <v>146135</v>
      </c>
      <c r="H80" s="4">
        <f>ROUND(32494.25,2)</f>
        <v>32494.25</v>
      </c>
      <c r="I80" s="4">
        <f t="shared" si="10"/>
        <v>0</v>
      </c>
      <c r="J80" s="4">
        <f aca="true" t="shared" si="12" ref="J80:J97">ROUND(0,2)</f>
        <v>0</v>
      </c>
      <c r="K80" s="4">
        <f>ROUND(32494.25,2)</f>
        <v>32494.25</v>
      </c>
    </row>
    <row r="81" spans="1:11" ht="38.25">
      <c r="A81" s="2" t="s">
        <v>854</v>
      </c>
      <c r="B81" s="3" t="s">
        <v>241</v>
      </c>
      <c r="C81" s="3" t="s">
        <v>1106</v>
      </c>
      <c r="D81" s="4">
        <f>ROUND(8890,2)</f>
        <v>8890</v>
      </c>
      <c r="E81" s="4">
        <f t="shared" si="9"/>
        <v>0</v>
      </c>
      <c r="F81" s="4">
        <f t="shared" si="11"/>
        <v>0</v>
      </c>
      <c r="G81" s="4">
        <f>ROUND(8890,2)</f>
        <v>8890</v>
      </c>
      <c r="H81" s="4">
        <f>ROUND(185.87,2)</f>
        <v>185.87</v>
      </c>
      <c r="I81" s="4">
        <f t="shared" si="10"/>
        <v>0</v>
      </c>
      <c r="J81" s="4">
        <f t="shared" si="12"/>
        <v>0</v>
      </c>
      <c r="K81" s="4">
        <f>ROUND(185.87,2)</f>
        <v>185.87</v>
      </c>
    </row>
    <row r="82" spans="1:11" ht="51">
      <c r="A82" s="2" t="s">
        <v>62</v>
      </c>
      <c r="B82" s="3" t="s">
        <v>532</v>
      </c>
      <c r="C82" s="3" t="s">
        <v>873</v>
      </c>
      <c r="D82" s="4">
        <f>ROUND(137245,2)</f>
        <v>137245</v>
      </c>
      <c r="E82" s="4">
        <f t="shared" si="9"/>
        <v>0</v>
      </c>
      <c r="F82" s="4">
        <f t="shared" si="11"/>
        <v>0</v>
      </c>
      <c r="G82" s="4">
        <f>ROUND(137245,2)</f>
        <v>137245</v>
      </c>
      <c r="H82" s="4">
        <f>ROUND(32308.38,2)</f>
        <v>32308.38</v>
      </c>
      <c r="I82" s="4">
        <f t="shared" si="10"/>
        <v>0</v>
      </c>
      <c r="J82" s="4">
        <f t="shared" si="12"/>
        <v>0</v>
      </c>
      <c r="K82" s="4">
        <f>ROUND(32308.38,2)</f>
        <v>32308.38</v>
      </c>
    </row>
    <row r="83" spans="1:11" ht="38.25">
      <c r="A83" s="2" t="s">
        <v>1197</v>
      </c>
      <c r="B83" s="3" t="s">
        <v>1087</v>
      </c>
      <c r="C83" s="3" t="s">
        <v>494</v>
      </c>
      <c r="D83" s="4">
        <f>ROUND(1928900,2)</f>
        <v>1928900</v>
      </c>
      <c r="E83" s="4">
        <f t="shared" si="9"/>
        <v>0</v>
      </c>
      <c r="F83" s="4">
        <f t="shared" si="11"/>
        <v>0</v>
      </c>
      <c r="G83" s="4">
        <f>ROUND(1928900,2)</f>
        <v>1928900</v>
      </c>
      <c r="H83" s="4">
        <f>ROUND(832634.04,2)</f>
        <v>832634.04</v>
      </c>
      <c r="I83" s="4">
        <f t="shared" si="10"/>
        <v>0</v>
      </c>
      <c r="J83" s="4">
        <f t="shared" si="12"/>
        <v>0</v>
      </c>
      <c r="K83" s="4">
        <f>ROUND(832634.04,2)</f>
        <v>832634.04</v>
      </c>
    </row>
    <row r="84" spans="1:11" ht="25.5">
      <c r="A84" s="2" t="s">
        <v>497</v>
      </c>
      <c r="B84" s="3" t="s">
        <v>651</v>
      </c>
      <c r="C84" s="3" t="s">
        <v>114</v>
      </c>
      <c r="D84" s="4">
        <f>ROUND(1782765,2)</f>
        <v>1782765</v>
      </c>
      <c r="E84" s="4">
        <f t="shared" si="9"/>
        <v>0</v>
      </c>
      <c r="F84" s="4">
        <f t="shared" si="11"/>
        <v>0</v>
      </c>
      <c r="G84" s="4">
        <f>ROUND(1782765,2)</f>
        <v>1782765</v>
      </c>
      <c r="H84" s="4">
        <f>ROUND(800139.79,2)</f>
        <v>800139.79</v>
      </c>
      <c r="I84" s="4">
        <f t="shared" si="10"/>
        <v>0</v>
      </c>
      <c r="J84" s="4">
        <f t="shared" si="12"/>
        <v>0</v>
      </c>
      <c r="K84" s="4">
        <f>ROUND(800139.79,2)</f>
        <v>800139.79</v>
      </c>
    </row>
    <row r="85" spans="1:11" ht="51">
      <c r="A85" s="2" t="s">
        <v>1173</v>
      </c>
      <c r="B85" s="3" t="s">
        <v>971</v>
      </c>
      <c r="C85" s="3" t="s">
        <v>933</v>
      </c>
      <c r="D85" s="4">
        <f>ROUND(1654592,2)</f>
        <v>1654592</v>
      </c>
      <c r="E85" s="4">
        <f t="shared" si="9"/>
        <v>0</v>
      </c>
      <c r="F85" s="4">
        <f t="shared" si="11"/>
        <v>0</v>
      </c>
      <c r="G85" s="4">
        <f>ROUND(1654592,2)</f>
        <v>1654592</v>
      </c>
      <c r="H85" s="4">
        <f>ROUND(780508.5,2)</f>
        <v>780508.5</v>
      </c>
      <c r="I85" s="4">
        <f t="shared" si="10"/>
        <v>0</v>
      </c>
      <c r="J85" s="4">
        <f t="shared" si="12"/>
        <v>0</v>
      </c>
      <c r="K85" s="4">
        <f>ROUND(780508.5,2)</f>
        <v>780508.5</v>
      </c>
    </row>
    <row r="86" spans="1:11" ht="25.5">
      <c r="A86" s="2" t="s">
        <v>526</v>
      </c>
      <c r="B86" s="3" t="s">
        <v>456</v>
      </c>
      <c r="C86" s="3" t="s">
        <v>227</v>
      </c>
      <c r="D86" s="4">
        <f>ROUND(1263890,2)</f>
        <v>1263890</v>
      </c>
      <c r="E86" s="4">
        <f t="shared" si="9"/>
        <v>0</v>
      </c>
      <c r="F86" s="4">
        <f t="shared" si="11"/>
        <v>0</v>
      </c>
      <c r="G86" s="4">
        <f>ROUND(1263890,2)</f>
        <v>1263890</v>
      </c>
      <c r="H86" s="4">
        <f>ROUND(621254.12,2)</f>
        <v>621254.12</v>
      </c>
      <c r="I86" s="4">
        <f t="shared" si="10"/>
        <v>0</v>
      </c>
      <c r="J86" s="4">
        <f t="shared" si="12"/>
        <v>0</v>
      </c>
      <c r="K86" s="4">
        <f>ROUND(621254.12,2)</f>
        <v>621254.12</v>
      </c>
    </row>
    <row r="87" spans="1:11" ht="38.25">
      <c r="A87" s="2" t="s">
        <v>143</v>
      </c>
      <c r="B87" s="3" t="s">
        <v>541</v>
      </c>
      <c r="C87" s="3" t="s">
        <v>144</v>
      </c>
      <c r="D87" s="4">
        <f>ROUND(390702,2)</f>
        <v>390702</v>
      </c>
      <c r="E87" s="4">
        <f t="shared" si="9"/>
        <v>0</v>
      </c>
      <c r="F87" s="4">
        <f t="shared" si="11"/>
        <v>0</v>
      </c>
      <c r="G87" s="4">
        <f>ROUND(390702,2)</f>
        <v>390702</v>
      </c>
      <c r="H87" s="4">
        <f>ROUND(159254.38,2)</f>
        <v>159254.38</v>
      </c>
      <c r="I87" s="4">
        <f t="shared" si="10"/>
        <v>0</v>
      </c>
      <c r="J87" s="4">
        <f t="shared" si="12"/>
        <v>0</v>
      </c>
      <c r="K87" s="4">
        <f>ROUND(159254.38,2)</f>
        <v>159254.38</v>
      </c>
    </row>
    <row r="88" spans="1:11" ht="25.5">
      <c r="A88" s="2" t="s">
        <v>788</v>
      </c>
      <c r="B88" s="3" t="s">
        <v>45</v>
      </c>
      <c r="C88" s="3" t="s">
        <v>286</v>
      </c>
      <c r="D88" s="4">
        <f>ROUND(128173,2)</f>
        <v>128173</v>
      </c>
      <c r="E88" s="4">
        <f t="shared" si="9"/>
        <v>0</v>
      </c>
      <c r="F88" s="4">
        <f t="shared" si="11"/>
        <v>0</v>
      </c>
      <c r="G88" s="4">
        <f>ROUND(128173,2)</f>
        <v>128173</v>
      </c>
      <c r="H88" s="4">
        <f>ROUND(19631.29,2)</f>
        <v>19631.29</v>
      </c>
      <c r="I88" s="4">
        <f t="shared" si="10"/>
        <v>0</v>
      </c>
      <c r="J88" s="4">
        <f t="shared" si="12"/>
        <v>0</v>
      </c>
      <c r="K88" s="4">
        <f>ROUND(19631.29,2)</f>
        <v>19631.29</v>
      </c>
    </row>
    <row r="89" spans="1:11" ht="25.5">
      <c r="A89" s="2" t="s">
        <v>232</v>
      </c>
      <c r="B89" s="3" t="s">
        <v>740</v>
      </c>
      <c r="C89" s="3" t="s">
        <v>736</v>
      </c>
      <c r="D89" s="4">
        <f>ROUND(35048,2)</f>
        <v>35048</v>
      </c>
      <c r="E89" s="4">
        <f t="shared" si="9"/>
        <v>0</v>
      </c>
      <c r="F89" s="4">
        <f t="shared" si="11"/>
        <v>0</v>
      </c>
      <c r="G89" s="4">
        <f>ROUND(35048,2)</f>
        <v>35048</v>
      </c>
      <c r="H89" s="4">
        <f>ROUND(11444.37,2)</f>
        <v>11444.37</v>
      </c>
      <c r="I89" s="4">
        <f t="shared" si="10"/>
        <v>0</v>
      </c>
      <c r="J89" s="4">
        <f t="shared" si="12"/>
        <v>0</v>
      </c>
      <c r="K89" s="4">
        <f>ROUND(11444.37,2)</f>
        <v>11444.37</v>
      </c>
    </row>
    <row r="90" spans="1:11" ht="25.5">
      <c r="A90" s="2" t="s">
        <v>700</v>
      </c>
      <c r="B90" s="3" t="s">
        <v>175</v>
      </c>
      <c r="C90" s="3" t="s">
        <v>531</v>
      </c>
      <c r="D90" s="4">
        <f>ROUND(17700,2)</f>
        <v>17700</v>
      </c>
      <c r="E90" s="4">
        <f t="shared" si="9"/>
        <v>0</v>
      </c>
      <c r="F90" s="4">
        <f t="shared" si="11"/>
        <v>0</v>
      </c>
      <c r="G90" s="4">
        <f>ROUND(17700,2)</f>
        <v>17700</v>
      </c>
      <c r="H90" s="4">
        <f>ROUND(1156.9,2)</f>
        <v>1156.9</v>
      </c>
      <c r="I90" s="4">
        <f t="shared" si="10"/>
        <v>0</v>
      </c>
      <c r="J90" s="4">
        <f t="shared" si="12"/>
        <v>0</v>
      </c>
      <c r="K90" s="4">
        <f>ROUND(1156.9,2)</f>
        <v>1156.9</v>
      </c>
    </row>
    <row r="91" spans="1:11" ht="25.5">
      <c r="A91" s="2" t="s">
        <v>24</v>
      </c>
      <c r="B91" s="3" t="s">
        <v>836</v>
      </c>
      <c r="C91" s="3" t="s">
        <v>1008</v>
      </c>
      <c r="D91" s="4">
        <f>ROUND(53575,2)</f>
        <v>53575</v>
      </c>
      <c r="E91" s="4">
        <f t="shared" si="9"/>
        <v>0</v>
      </c>
      <c r="F91" s="4">
        <f t="shared" si="11"/>
        <v>0</v>
      </c>
      <c r="G91" s="4">
        <f>ROUND(53575,2)</f>
        <v>53575</v>
      </c>
      <c r="H91" s="4">
        <f>ROUND(5380.02,2)</f>
        <v>5380.02</v>
      </c>
      <c r="I91" s="4">
        <f t="shared" si="10"/>
        <v>0</v>
      </c>
      <c r="J91" s="4">
        <f t="shared" si="12"/>
        <v>0</v>
      </c>
      <c r="K91" s="4">
        <f>ROUND(5380.02,2)</f>
        <v>5380.02</v>
      </c>
    </row>
    <row r="92" spans="1:11" ht="38.25">
      <c r="A92" s="2" t="s">
        <v>909</v>
      </c>
      <c r="B92" s="3" t="s">
        <v>84</v>
      </c>
      <c r="C92" s="3" t="s">
        <v>638</v>
      </c>
      <c r="D92" s="4">
        <f>ROUND(14250,2)</f>
        <v>14250</v>
      </c>
      <c r="E92" s="4">
        <f t="shared" si="9"/>
        <v>0</v>
      </c>
      <c r="F92" s="4">
        <f t="shared" si="11"/>
        <v>0</v>
      </c>
      <c r="G92" s="4">
        <f>ROUND(14250,2)</f>
        <v>14250</v>
      </c>
      <c r="H92" s="4">
        <f>ROUND(250,2)</f>
        <v>250</v>
      </c>
      <c r="I92" s="4">
        <f t="shared" si="10"/>
        <v>0</v>
      </c>
      <c r="J92" s="4">
        <f t="shared" si="12"/>
        <v>0</v>
      </c>
      <c r="K92" s="4">
        <f>ROUND(250,2)</f>
        <v>250</v>
      </c>
    </row>
    <row r="93" spans="1:11" ht="38.25">
      <c r="A93" s="2" t="s">
        <v>182</v>
      </c>
      <c r="B93" s="3" t="s">
        <v>632</v>
      </c>
      <c r="C93" s="3" t="s">
        <v>815</v>
      </c>
      <c r="D93" s="4">
        <f>ROUND(6400,2)</f>
        <v>6400</v>
      </c>
      <c r="E93" s="4">
        <f t="shared" si="9"/>
        <v>0</v>
      </c>
      <c r="F93" s="4">
        <f t="shared" si="11"/>
        <v>0</v>
      </c>
      <c r="G93" s="4">
        <f>ROUND(6400,2)</f>
        <v>6400</v>
      </c>
      <c r="H93" s="4">
        <f>ROUND(1400,2)</f>
        <v>1400</v>
      </c>
      <c r="I93" s="4">
        <f t="shared" si="10"/>
        <v>0</v>
      </c>
      <c r="J93" s="4">
        <f t="shared" si="12"/>
        <v>0</v>
      </c>
      <c r="K93" s="4">
        <f>ROUND(1400,2)</f>
        <v>1400</v>
      </c>
    </row>
    <row r="94" spans="1:11" ht="25.5">
      <c r="A94" s="2" t="s">
        <v>886</v>
      </c>
      <c r="B94" s="3" t="s">
        <v>307</v>
      </c>
      <c r="C94" s="3" t="s">
        <v>867</v>
      </c>
      <c r="D94" s="4">
        <f>ROUND(1200,2)</f>
        <v>1200</v>
      </c>
      <c r="E94" s="4">
        <f t="shared" si="9"/>
        <v>0</v>
      </c>
      <c r="F94" s="4">
        <f t="shared" si="11"/>
        <v>0</v>
      </c>
      <c r="G94" s="4">
        <f>ROUND(1200,2)</f>
        <v>1200</v>
      </c>
      <c r="H94" s="4">
        <f>ROUND(0,2)</f>
        <v>0</v>
      </c>
      <c r="I94" s="4">
        <f t="shared" si="10"/>
        <v>0</v>
      </c>
      <c r="J94" s="4">
        <f t="shared" si="12"/>
        <v>0</v>
      </c>
      <c r="K94" s="4">
        <f>ROUND(0,2)</f>
        <v>0</v>
      </c>
    </row>
    <row r="95" spans="1:11" ht="38.25">
      <c r="A95" s="2" t="s">
        <v>70</v>
      </c>
      <c r="B95" s="3" t="s">
        <v>912</v>
      </c>
      <c r="C95" s="3" t="s">
        <v>926</v>
      </c>
      <c r="D95" s="4">
        <f>ROUND(146135,2)</f>
        <v>146135</v>
      </c>
      <c r="E95" s="4">
        <f t="shared" si="9"/>
        <v>0</v>
      </c>
      <c r="F95" s="4">
        <f t="shared" si="11"/>
        <v>0</v>
      </c>
      <c r="G95" s="4">
        <f>ROUND(146135,2)</f>
        <v>146135</v>
      </c>
      <c r="H95" s="4">
        <f>ROUND(32494.25,2)</f>
        <v>32494.25</v>
      </c>
      <c r="I95" s="4">
        <f t="shared" si="10"/>
        <v>0</v>
      </c>
      <c r="J95" s="4">
        <f t="shared" si="12"/>
        <v>0</v>
      </c>
      <c r="K95" s="4">
        <f>ROUND(32494.25,2)</f>
        <v>32494.25</v>
      </c>
    </row>
    <row r="96" spans="1:11" ht="38.25">
      <c r="A96" s="2" t="s">
        <v>643</v>
      </c>
      <c r="B96" s="3" t="s">
        <v>1191</v>
      </c>
      <c r="C96" s="3" t="s">
        <v>1106</v>
      </c>
      <c r="D96" s="4">
        <f>ROUND(8890,2)</f>
        <v>8890</v>
      </c>
      <c r="E96" s="4">
        <f t="shared" si="9"/>
        <v>0</v>
      </c>
      <c r="F96" s="4">
        <f t="shared" si="11"/>
        <v>0</v>
      </c>
      <c r="G96" s="4">
        <f>ROUND(8890,2)</f>
        <v>8890</v>
      </c>
      <c r="H96" s="4">
        <f>ROUND(185.87,2)</f>
        <v>185.87</v>
      </c>
      <c r="I96" s="4">
        <f t="shared" si="10"/>
        <v>0</v>
      </c>
      <c r="J96" s="4">
        <f t="shared" si="12"/>
        <v>0</v>
      </c>
      <c r="K96" s="4">
        <f>ROUND(185.87,2)</f>
        <v>185.87</v>
      </c>
    </row>
    <row r="97" spans="1:11" ht="51">
      <c r="A97" s="2" t="s">
        <v>283</v>
      </c>
      <c r="B97" s="3" t="s">
        <v>895</v>
      </c>
      <c r="C97" s="3" t="s">
        <v>873</v>
      </c>
      <c r="D97" s="4">
        <f>ROUND(137245,2)</f>
        <v>137245</v>
      </c>
      <c r="E97" s="4">
        <f t="shared" si="9"/>
        <v>0</v>
      </c>
      <c r="F97" s="4">
        <f t="shared" si="11"/>
        <v>0</v>
      </c>
      <c r="G97" s="4">
        <f>ROUND(137245,2)</f>
        <v>137245</v>
      </c>
      <c r="H97" s="4">
        <f>ROUND(32308.38,2)</f>
        <v>32308.38</v>
      </c>
      <c r="I97" s="4">
        <f t="shared" si="10"/>
        <v>0</v>
      </c>
      <c r="J97" s="4">
        <f t="shared" si="12"/>
        <v>0</v>
      </c>
      <c r="K97" s="4">
        <f>ROUND(32308.38,2)</f>
        <v>32308.38</v>
      </c>
    </row>
    <row r="98" spans="1:11" ht="38.25">
      <c r="A98" s="2" t="s">
        <v>434</v>
      </c>
      <c r="B98" s="3" t="s">
        <v>555</v>
      </c>
      <c r="C98" s="3" t="s">
        <v>731</v>
      </c>
      <c r="D98" s="4">
        <f>ROUND(70000,2)</f>
        <v>70000</v>
      </c>
      <c r="E98" s="4">
        <f t="shared" si="9"/>
        <v>0</v>
      </c>
      <c r="F98" s="4">
        <f>ROUND(70000,2)</f>
        <v>70000</v>
      </c>
      <c r="G98" s="4">
        <f>ROUND(0,2)</f>
        <v>0</v>
      </c>
      <c r="H98" s="4">
        <f>ROUND(70000,2)</f>
        <v>70000</v>
      </c>
      <c r="I98" s="4">
        <f t="shared" si="10"/>
        <v>0</v>
      </c>
      <c r="J98" s="4">
        <f>ROUND(70000,2)</f>
        <v>70000</v>
      </c>
      <c r="K98" s="4">
        <f>ROUND(0,2)</f>
        <v>0</v>
      </c>
    </row>
    <row r="99" spans="1:11" ht="25.5">
      <c r="A99" s="2" t="s">
        <v>1075</v>
      </c>
      <c r="B99" s="3" t="s">
        <v>134</v>
      </c>
      <c r="C99" s="3" t="s">
        <v>114</v>
      </c>
      <c r="D99" s="4">
        <f>ROUND(70000,2)</f>
        <v>70000</v>
      </c>
      <c r="E99" s="4">
        <f t="shared" si="9"/>
        <v>0</v>
      </c>
      <c r="F99" s="4">
        <f>ROUND(70000,2)</f>
        <v>70000</v>
      </c>
      <c r="G99" s="4">
        <f>ROUND(0,2)</f>
        <v>0</v>
      </c>
      <c r="H99" s="4">
        <f>ROUND(70000,2)</f>
        <v>70000</v>
      </c>
      <c r="I99" s="4">
        <f t="shared" si="10"/>
        <v>0</v>
      </c>
      <c r="J99" s="4">
        <f>ROUND(70000,2)</f>
        <v>70000</v>
      </c>
      <c r="K99" s="4">
        <f>ROUND(0,2)</f>
        <v>0</v>
      </c>
    </row>
    <row r="100" spans="1:11" ht="25.5">
      <c r="A100" s="2" t="s">
        <v>523</v>
      </c>
      <c r="B100" s="3" t="s">
        <v>728</v>
      </c>
      <c r="C100" s="3" t="s">
        <v>286</v>
      </c>
      <c r="D100" s="4">
        <f>ROUND(70000,2)</f>
        <v>70000</v>
      </c>
      <c r="E100" s="4">
        <f t="shared" si="9"/>
        <v>0</v>
      </c>
      <c r="F100" s="4">
        <f>ROUND(70000,2)</f>
        <v>70000</v>
      </c>
      <c r="G100" s="4">
        <f>ROUND(0,2)</f>
        <v>0</v>
      </c>
      <c r="H100" s="4">
        <f>ROUND(70000,2)</f>
        <v>70000</v>
      </c>
      <c r="I100" s="4">
        <f t="shared" si="10"/>
        <v>0</v>
      </c>
      <c r="J100" s="4">
        <f>ROUND(70000,2)</f>
        <v>70000</v>
      </c>
      <c r="K100" s="4">
        <f>ROUND(0,2)</f>
        <v>0</v>
      </c>
    </row>
    <row r="101" spans="1:11" ht="25.5">
      <c r="A101" s="2" t="s">
        <v>256</v>
      </c>
      <c r="B101" s="3" t="s">
        <v>812</v>
      </c>
      <c r="C101" s="3" t="s">
        <v>867</v>
      </c>
      <c r="D101" s="4">
        <f>ROUND(70000,2)</f>
        <v>70000</v>
      </c>
      <c r="E101" s="4">
        <f t="shared" si="9"/>
        <v>0</v>
      </c>
      <c r="F101" s="4">
        <f>ROUND(70000,2)</f>
        <v>70000</v>
      </c>
      <c r="G101" s="4">
        <f>ROUND(0,2)</f>
        <v>0</v>
      </c>
      <c r="H101" s="4">
        <f>ROUND(70000,2)</f>
        <v>70000</v>
      </c>
      <c r="I101" s="4">
        <f t="shared" si="10"/>
        <v>0</v>
      </c>
      <c r="J101" s="4">
        <f>ROUND(70000,2)</f>
        <v>70000</v>
      </c>
      <c r="K101" s="4">
        <f>ROUND(0,2)</f>
        <v>0</v>
      </c>
    </row>
    <row r="102" spans="1:11" ht="51">
      <c r="A102" s="2" t="s">
        <v>255</v>
      </c>
      <c r="B102" s="3" t="s">
        <v>1116</v>
      </c>
      <c r="C102" s="3" t="s">
        <v>100</v>
      </c>
      <c r="D102" s="4">
        <f>ROUND(4357330.61,2)</f>
        <v>4357330.61</v>
      </c>
      <c r="E102" s="4">
        <f aca="true" t="shared" si="13" ref="E102:E133">ROUND(0,2)</f>
        <v>0</v>
      </c>
      <c r="F102" s="4">
        <f>ROUND(2002702.61,2)</f>
        <v>2002702.61</v>
      </c>
      <c r="G102" s="4">
        <f>ROUND(2354628,2)</f>
        <v>2354628</v>
      </c>
      <c r="H102" s="4">
        <f>ROUND(3115752.01,2)</f>
        <v>3115752.01</v>
      </c>
      <c r="I102" s="4">
        <f aca="true" t="shared" si="14" ref="I102:I133">ROUND(0,2)</f>
        <v>0</v>
      </c>
      <c r="J102" s="4">
        <f>ROUND(1245703.07,2)</f>
        <v>1245703.07</v>
      </c>
      <c r="K102" s="4">
        <f>ROUND(1870048.94,2)</f>
        <v>1870048.94</v>
      </c>
    </row>
    <row r="103" spans="1:11" ht="25.5">
      <c r="A103" s="2" t="s">
        <v>688</v>
      </c>
      <c r="B103" s="3" t="s">
        <v>611</v>
      </c>
      <c r="C103" s="3" t="s">
        <v>114</v>
      </c>
      <c r="D103" s="4">
        <f>ROUND(3731659.61,2)</f>
        <v>3731659.61</v>
      </c>
      <c r="E103" s="4">
        <f t="shared" si="13"/>
        <v>0</v>
      </c>
      <c r="F103" s="4">
        <f>ROUND(1855562.61,2)</f>
        <v>1855562.61</v>
      </c>
      <c r="G103" s="4">
        <f>ROUND(1876097,2)</f>
        <v>1876097</v>
      </c>
      <c r="H103" s="4">
        <f>ROUND(2747088.07,2)</f>
        <v>2747088.07</v>
      </c>
      <c r="I103" s="4">
        <f t="shared" si="14"/>
        <v>0</v>
      </c>
      <c r="J103" s="4">
        <f>ROUND(1199543.07,2)</f>
        <v>1199543.07</v>
      </c>
      <c r="K103" s="4">
        <f>ROUND(1547545,2)</f>
        <v>1547545</v>
      </c>
    </row>
    <row r="104" spans="1:11" ht="51">
      <c r="A104" s="2" t="s">
        <v>123</v>
      </c>
      <c r="B104" s="3" t="s">
        <v>936</v>
      </c>
      <c r="C104" s="3" t="s">
        <v>933</v>
      </c>
      <c r="D104" s="4">
        <f>ROUND(2936049.61,2)</f>
        <v>2936049.61</v>
      </c>
      <c r="E104" s="4">
        <f t="shared" si="13"/>
        <v>0</v>
      </c>
      <c r="F104" s="4">
        <f>ROUND(1679522.61,2)</f>
        <v>1679522.61</v>
      </c>
      <c r="G104" s="4">
        <f>ROUND(1256527,2)</f>
        <v>1256527</v>
      </c>
      <c r="H104" s="4">
        <f>ROUND(2033395.84,2)</f>
        <v>2033395.84</v>
      </c>
      <c r="I104" s="4">
        <f t="shared" si="14"/>
        <v>0</v>
      </c>
      <c r="J104" s="4">
        <f>ROUND(1029307.67,2)</f>
        <v>1029307.67</v>
      </c>
      <c r="K104" s="4">
        <f>ROUND(1004088.17,2)</f>
        <v>1004088.17</v>
      </c>
    </row>
    <row r="105" spans="1:11" ht="25.5">
      <c r="A105" s="2" t="s">
        <v>892</v>
      </c>
      <c r="B105" s="3" t="s">
        <v>419</v>
      </c>
      <c r="C105" s="3" t="s">
        <v>227</v>
      </c>
      <c r="D105" s="4">
        <f>ROUND(2250853.61,2)</f>
        <v>2250853.61</v>
      </c>
      <c r="E105" s="4">
        <f t="shared" si="13"/>
        <v>0</v>
      </c>
      <c r="F105" s="4">
        <f>ROUND(1285362.61,2)</f>
        <v>1285362.61</v>
      </c>
      <c r="G105" s="4">
        <f>ROUND(965491,2)</f>
        <v>965491</v>
      </c>
      <c r="H105" s="4">
        <f>ROUND(1623564.03,2)</f>
        <v>1623564.03</v>
      </c>
      <c r="I105" s="4">
        <f t="shared" si="14"/>
        <v>0</v>
      </c>
      <c r="J105" s="4">
        <f>ROUND(801677.67,2)</f>
        <v>801677.67</v>
      </c>
      <c r="K105" s="4">
        <f>ROUND(821886.36,2)</f>
        <v>821886.36</v>
      </c>
    </row>
    <row r="106" spans="1:11" ht="25.5">
      <c r="A106" s="2" t="s">
        <v>212</v>
      </c>
      <c r="B106" s="3" t="s">
        <v>1126</v>
      </c>
      <c r="C106" s="3" t="s">
        <v>343</v>
      </c>
      <c r="D106" s="4">
        <f>ROUND(8000,2)</f>
        <v>8000</v>
      </c>
      <c r="E106" s="4">
        <f t="shared" si="13"/>
        <v>0</v>
      </c>
      <c r="F106" s="4">
        <f>ROUND(8000,2)</f>
        <v>8000</v>
      </c>
      <c r="G106" s="4">
        <f>ROUND(0,2)</f>
        <v>0</v>
      </c>
      <c r="H106" s="4">
        <f>ROUND(8000,2)</f>
        <v>8000</v>
      </c>
      <c r="I106" s="4">
        <f t="shared" si="14"/>
        <v>0</v>
      </c>
      <c r="J106" s="4">
        <f>ROUND(8000,2)</f>
        <v>8000</v>
      </c>
      <c r="K106" s="4">
        <f>ROUND(0,2)</f>
        <v>0</v>
      </c>
    </row>
    <row r="107" spans="1:11" ht="38.25">
      <c r="A107" s="2" t="s">
        <v>718</v>
      </c>
      <c r="B107" s="3" t="s">
        <v>571</v>
      </c>
      <c r="C107" s="3" t="s">
        <v>144</v>
      </c>
      <c r="D107" s="4">
        <f>ROUND(677196,2)</f>
        <v>677196</v>
      </c>
      <c r="E107" s="4">
        <f t="shared" si="13"/>
        <v>0</v>
      </c>
      <c r="F107" s="4">
        <f>ROUND(386160,2)</f>
        <v>386160</v>
      </c>
      <c r="G107" s="4">
        <f>ROUND(291036,2)</f>
        <v>291036</v>
      </c>
      <c r="H107" s="4">
        <f>ROUND(401831.81,2)</f>
        <v>401831.81</v>
      </c>
      <c r="I107" s="4">
        <f t="shared" si="14"/>
        <v>0</v>
      </c>
      <c r="J107" s="4">
        <f>ROUND(219630,2)</f>
        <v>219630</v>
      </c>
      <c r="K107" s="4">
        <f>ROUND(182201.81,2)</f>
        <v>182201.81</v>
      </c>
    </row>
    <row r="108" spans="1:11" ht="25.5">
      <c r="A108" s="2" t="s">
        <v>6</v>
      </c>
      <c r="B108" s="3" t="s">
        <v>3</v>
      </c>
      <c r="C108" s="3" t="s">
        <v>286</v>
      </c>
      <c r="D108" s="4">
        <f>ROUND(522610,2)</f>
        <v>522610</v>
      </c>
      <c r="E108" s="4">
        <f t="shared" si="13"/>
        <v>0</v>
      </c>
      <c r="F108" s="4">
        <f>ROUND(176040,2)</f>
        <v>176040</v>
      </c>
      <c r="G108" s="4">
        <f>ROUND(346570,2)</f>
        <v>346570</v>
      </c>
      <c r="H108" s="4">
        <f>ROUND(440692.23,2)</f>
        <v>440692.23</v>
      </c>
      <c r="I108" s="4">
        <f t="shared" si="14"/>
        <v>0</v>
      </c>
      <c r="J108" s="4">
        <f>ROUND(170235.4,2)</f>
        <v>170235.4</v>
      </c>
      <c r="K108" s="4">
        <f>ROUND(270456.83,2)</f>
        <v>270456.83</v>
      </c>
    </row>
    <row r="109" spans="1:11" ht="25.5">
      <c r="A109" s="2" t="s">
        <v>697</v>
      </c>
      <c r="B109" s="3" t="s">
        <v>716</v>
      </c>
      <c r="C109" s="3" t="s">
        <v>736</v>
      </c>
      <c r="D109" s="4">
        <f>ROUND(6000,2)</f>
        <v>6000</v>
      </c>
      <c r="E109" s="4">
        <f t="shared" si="13"/>
        <v>0</v>
      </c>
      <c r="F109" s="4">
        <f>ROUND(0,2)</f>
        <v>0</v>
      </c>
      <c r="G109" s="4">
        <f>ROUND(6000,2)</f>
        <v>6000</v>
      </c>
      <c r="H109" s="4">
        <f>ROUND(2467.03,2)</f>
        <v>2467.03</v>
      </c>
      <c r="I109" s="4">
        <f t="shared" si="14"/>
        <v>0</v>
      </c>
      <c r="J109" s="4">
        <f>ROUND(0,2)</f>
        <v>0</v>
      </c>
      <c r="K109" s="4">
        <f>ROUND(2467.03,2)</f>
        <v>2467.03</v>
      </c>
    </row>
    <row r="110" spans="1:11" ht="25.5">
      <c r="A110" s="2" t="s">
        <v>37</v>
      </c>
      <c r="B110" s="3" t="s">
        <v>210</v>
      </c>
      <c r="C110" s="3" t="s">
        <v>531</v>
      </c>
      <c r="D110" s="4">
        <f>ROUND(150040,2)</f>
        <v>150040</v>
      </c>
      <c r="E110" s="4">
        <f t="shared" si="13"/>
        <v>0</v>
      </c>
      <c r="F110" s="4">
        <f>ROUND(150040,2)</f>
        <v>150040</v>
      </c>
      <c r="G110" s="4">
        <f>ROUND(0,2)</f>
        <v>0</v>
      </c>
      <c r="H110" s="4">
        <f>ROUND(150040,2)</f>
        <v>150040</v>
      </c>
      <c r="I110" s="4">
        <f t="shared" si="14"/>
        <v>0</v>
      </c>
      <c r="J110" s="4">
        <f>ROUND(150040,2)</f>
        <v>150040</v>
      </c>
      <c r="K110" s="4">
        <f>ROUND(0,2)</f>
        <v>0</v>
      </c>
    </row>
    <row r="111" spans="1:11" ht="38.25">
      <c r="A111" s="2" t="s">
        <v>770</v>
      </c>
      <c r="B111" s="3" t="s">
        <v>684</v>
      </c>
      <c r="C111" s="3" t="s">
        <v>815</v>
      </c>
      <c r="D111" s="4">
        <f>ROUND(244300,2)</f>
        <v>244300</v>
      </c>
      <c r="E111" s="4">
        <f t="shared" si="13"/>
        <v>0</v>
      </c>
      <c r="F111" s="4">
        <f>ROUND(0,2)</f>
        <v>0</v>
      </c>
      <c r="G111" s="4">
        <f>ROUND(244300,2)</f>
        <v>244300</v>
      </c>
      <c r="H111" s="4">
        <f>ROUND(171816.76,2)</f>
        <v>171816.76</v>
      </c>
      <c r="I111" s="4">
        <f t="shared" si="14"/>
        <v>0</v>
      </c>
      <c r="J111" s="4">
        <f>ROUND(0,2)</f>
        <v>0</v>
      </c>
      <c r="K111" s="4">
        <f>ROUND(171816.76,2)</f>
        <v>171816.76</v>
      </c>
    </row>
    <row r="112" spans="1:11" ht="25.5">
      <c r="A112" s="2" t="s">
        <v>246</v>
      </c>
      <c r="B112" s="3" t="s">
        <v>252</v>
      </c>
      <c r="C112" s="3" t="s">
        <v>867</v>
      </c>
      <c r="D112" s="4">
        <f>ROUND(122270,2)</f>
        <v>122270</v>
      </c>
      <c r="E112" s="4">
        <f t="shared" si="13"/>
        <v>0</v>
      </c>
      <c r="F112" s="4">
        <f>ROUND(26000,2)</f>
        <v>26000</v>
      </c>
      <c r="G112" s="4">
        <f>ROUND(96270,2)</f>
        <v>96270</v>
      </c>
      <c r="H112" s="4">
        <f>ROUND(116368.44,2)</f>
        <v>116368.44</v>
      </c>
      <c r="I112" s="4">
        <f t="shared" si="14"/>
        <v>0</v>
      </c>
      <c r="J112" s="4">
        <f>ROUND(20195.4,2)</f>
        <v>20195.4</v>
      </c>
      <c r="K112" s="4">
        <f>ROUND(96173.04,2)</f>
        <v>96173.04</v>
      </c>
    </row>
    <row r="113" spans="1:11" ht="38.25">
      <c r="A113" s="2" t="s">
        <v>204</v>
      </c>
      <c r="B113" s="3" t="s">
        <v>640</v>
      </c>
      <c r="C113" s="3" t="s">
        <v>149</v>
      </c>
      <c r="D113" s="4">
        <f>ROUND(273000,2)</f>
        <v>273000</v>
      </c>
      <c r="E113" s="4">
        <f t="shared" si="13"/>
        <v>0</v>
      </c>
      <c r="F113" s="4">
        <f>ROUND(0,2)</f>
        <v>0</v>
      </c>
      <c r="G113" s="4">
        <f>ROUND(273000,2)</f>
        <v>273000</v>
      </c>
      <c r="H113" s="4">
        <f>ROUND(273000,2)</f>
        <v>273000</v>
      </c>
      <c r="I113" s="4">
        <f t="shared" si="14"/>
        <v>0</v>
      </c>
      <c r="J113" s="4">
        <f>ROUND(0,2)</f>
        <v>0</v>
      </c>
      <c r="K113" s="4">
        <f>ROUND(273000,2)</f>
        <v>273000</v>
      </c>
    </row>
    <row r="114" spans="1:11" ht="89.25">
      <c r="A114" s="2" t="s">
        <v>201</v>
      </c>
      <c r="B114" s="3" t="s">
        <v>804</v>
      </c>
      <c r="C114" s="3" t="s">
        <v>364</v>
      </c>
      <c r="D114" s="4">
        <f>ROUND(273000,2)</f>
        <v>273000</v>
      </c>
      <c r="E114" s="4">
        <f t="shared" si="13"/>
        <v>0</v>
      </c>
      <c r="F114" s="4">
        <f>ROUND(0,2)</f>
        <v>0</v>
      </c>
      <c r="G114" s="4">
        <f>ROUND(273000,2)</f>
        <v>273000</v>
      </c>
      <c r="H114" s="4">
        <f>ROUND(273000,2)</f>
        <v>273000</v>
      </c>
      <c r="I114" s="4">
        <f t="shared" si="14"/>
        <v>0</v>
      </c>
      <c r="J114" s="4">
        <f>ROUND(0,2)</f>
        <v>0</v>
      </c>
      <c r="K114" s="4">
        <f>ROUND(273000,2)</f>
        <v>273000</v>
      </c>
    </row>
    <row r="115" spans="1:11" ht="38.25">
      <c r="A115" s="2" t="s">
        <v>1100</v>
      </c>
      <c r="B115" s="3" t="s">
        <v>865</v>
      </c>
      <c r="C115" s="3" t="s">
        <v>926</v>
      </c>
      <c r="D115" s="4">
        <f>ROUND(625671,2)</f>
        <v>625671</v>
      </c>
      <c r="E115" s="4">
        <f t="shared" si="13"/>
        <v>0</v>
      </c>
      <c r="F115" s="4">
        <f>ROUND(147140,2)</f>
        <v>147140</v>
      </c>
      <c r="G115" s="4">
        <f>ROUND(478531,2)</f>
        <v>478531</v>
      </c>
      <c r="H115" s="4">
        <f>ROUND(368663.94,2)</f>
        <v>368663.94</v>
      </c>
      <c r="I115" s="4">
        <f t="shared" si="14"/>
        <v>0</v>
      </c>
      <c r="J115" s="4">
        <f>ROUND(46160,2)</f>
        <v>46160</v>
      </c>
      <c r="K115" s="4">
        <f>ROUND(322503.94,2)</f>
        <v>322503.94</v>
      </c>
    </row>
    <row r="116" spans="1:11" ht="38.25">
      <c r="A116" s="2" t="s">
        <v>56</v>
      </c>
      <c r="B116" s="3" t="s">
        <v>1145</v>
      </c>
      <c r="C116" s="3" t="s">
        <v>1106</v>
      </c>
      <c r="D116" s="4">
        <f>ROUND(69440,2)</f>
        <v>69440</v>
      </c>
      <c r="E116" s="4">
        <f t="shared" si="13"/>
        <v>0</v>
      </c>
      <c r="F116" s="4">
        <f>ROUND(41140,2)</f>
        <v>41140</v>
      </c>
      <c r="G116" s="4">
        <f>ROUND(28300,2)</f>
        <v>28300</v>
      </c>
      <c r="H116" s="4">
        <f>ROUND(68401,2)</f>
        <v>68401</v>
      </c>
      <c r="I116" s="4">
        <f t="shared" si="14"/>
        <v>0</v>
      </c>
      <c r="J116" s="4">
        <f>ROUND(40200,2)</f>
        <v>40200</v>
      </c>
      <c r="K116" s="4">
        <f>ROUND(28201,2)</f>
        <v>28201</v>
      </c>
    </row>
    <row r="117" spans="1:11" ht="51">
      <c r="A117" s="2" t="s">
        <v>876</v>
      </c>
      <c r="B117" s="3" t="s">
        <v>840</v>
      </c>
      <c r="C117" s="3" t="s">
        <v>873</v>
      </c>
      <c r="D117" s="4">
        <f>ROUND(556231,2)</f>
        <v>556231</v>
      </c>
      <c r="E117" s="4">
        <f t="shared" si="13"/>
        <v>0</v>
      </c>
      <c r="F117" s="4">
        <f>ROUND(106000,2)</f>
        <v>106000</v>
      </c>
      <c r="G117" s="4">
        <f>ROUND(450231,2)</f>
        <v>450231</v>
      </c>
      <c r="H117" s="4">
        <f>ROUND(300262.94,2)</f>
        <v>300262.94</v>
      </c>
      <c r="I117" s="4">
        <f t="shared" si="14"/>
        <v>0</v>
      </c>
      <c r="J117" s="4">
        <f>ROUND(5960,2)</f>
        <v>5960</v>
      </c>
      <c r="K117" s="4">
        <f>ROUND(294302.94,2)</f>
        <v>294302.94</v>
      </c>
    </row>
    <row r="118" spans="1:11" ht="114.75">
      <c r="A118" s="2" t="s">
        <v>918</v>
      </c>
      <c r="B118" s="3" t="s">
        <v>116</v>
      </c>
      <c r="C118" s="3" t="s">
        <v>64</v>
      </c>
      <c r="D118" s="4">
        <f>ROUND(2002702.61,2)</f>
        <v>2002702.61</v>
      </c>
      <c r="E118" s="4">
        <f t="shared" si="13"/>
        <v>0</v>
      </c>
      <c r="F118" s="4">
        <f>ROUND(2002702.61,2)</f>
        <v>2002702.61</v>
      </c>
      <c r="G118" s="4">
        <f aca="true" t="shared" si="15" ref="G118:G129">ROUND(0,2)</f>
        <v>0</v>
      </c>
      <c r="H118" s="4">
        <f>ROUND(1245703.07,2)</f>
        <v>1245703.07</v>
      </c>
      <c r="I118" s="4">
        <f t="shared" si="14"/>
        <v>0</v>
      </c>
      <c r="J118" s="4">
        <f>ROUND(1245703.07,2)</f>
        <v>1245703.07</v>
      </c>
      <c r="K118" s="4">
        <f aca="true" t="shared" si="16" ref="K118:K129">ROUND(0,2)</f>
        <v>0</v>
      </c>
    </row>
    <row r="119" spans="1:11" ht="25.5">
      <c r="A119" s="2" t="s">
        <v>426</v>
      </c>
      <c r="B119" s="3" t="s">
        <v>560</v>
      </c>
      <c r="C119" s="3" t="s">
        <v>114</v>
      </c>
      <c r="D119" s="4">
        <f>ROUND(1855562.61,2)</f>
        <v>1855562.61</v>
      </c>
      <c r="E119" s="4">
        <f t="shared" si="13"/>
        <v>0</v>
      </c>
      <c r="F119" s="4">
        <f>ROUND(1855562.61,2)</f>
        <v>1855562.61</v>
      </c>
      <c r="G119" s="4">
        <f t="shared" si="15"/>
        <v>0</v>
      </c>
      <c r="H119" s="4">
        <f>ROUND(1199543.07,2)</f>
        <v>1199543.07</v>
      </c>
      <c r="I119" s="4">
        <f t="shared" si="14"/>
        <v>0</v>
      </c>
      <c r="J119" s="4">
        <f>ROUND(1199543.07,2)</f>
        <v>1199543.07</v>
      </c>
      <c r="K119" s="4">
        <f t="shared" si="16"/>
        <v>0</v>
      </c>
    </row>
    <row r="120" spans="1:11" ht="51">
      <c r="A120" s="2" t="s">
        <v>961</v>
      </c>
      <c r="B120" s="3" t="s">
        <v>265</v>
      </c>
      <c r="C120" s="3" t="s">
        <v>933</v>
      </c>
      <c r="D120" s="4">
        <f>ROUND(1679522.61,2)</f>
        <v>1679522.61</v>
      </c>
      <c r="E120" s="4">
        <f t="shared" si="13"/>
        <v>0</v>
      </c>
      <c r="F120" s="4">
        <f>ROUND(1679522.61,2)</f>
        <v>1679522.61</v>
      </c>
      <c r="G120" s="4">
        <f t="shared" si="15"/>
        <v>0</v>
      </c>
      <c r="H120" s="4">
        <f>ROUND(1029307.67,2)</f>
        <v>1029307.67</v>
      </c>
      <c r="I120" s="4">
        <f t="shared" si="14"/>
        <v>0</v>
      </c>
      <c r="J120" s="4">
        <f>ROUND(1029307.67,2)</f>
        <v>1029307.67</v>
      </c>
      <c r="K120" s="4">
        <f t="shared" si="16"/>
        <v>0</v>
      </c>
    </row>
    <row r="121" spans="1:11" ht="25.5">
      <c r="A121" s="2" t="s">
        <v>398</v>
      </c>
      <c r="B121" s="3" t="s">
        <v>764</v>
      </c>
      <c r="C121" s="3" t="s">
        <v>227</v>
      </c>
      <c r="D121" s="4">
        <f>ROUND(1285362.61,2)</f>
        <v>1285362.61</v>
      </c>
      <c r="E121" s="4">
        <f t="shared" si="13"/>
        <v>0</v>
      </c>
      <c r="F121" s="4">
        <f>ROUND(1285362.61,2)</f>
        <v>1285362.61</v>
      </c>
      <c r="G121" s="4">
        <f t="shared" si="15"/>
        <v>0</v>
      </c>
      <c r="H121" s="4">
        <f>ROUND(801677.67,2)</f>
        <v>801677.67</v>
      </c>
      <c r="I121" s="4">
        <f t="shared" si="14"/>
        <v>0</v>
      </c>
      <c r="J121" s="4">
        <f>ROUND(801677.67,2)</f>
        <v>801677.67</v>
      </c>
      <c r="K121" s="4">
        <f t="shared" si="16"/>
        <v>0</v>
      </c>
    </row>
    <row r="122" spans="1:11" ht="25.5">
      <c r="A122" s="2" t="s">
        <v>262</v>
      </c>
      <c r="B122" s="3" t="s">
        <v>133</v>
      </c>
      <c r="C122" s="3" t="s">
        <v>343</v>
      </c>
      <c r="D122" s="4">
        <f>ROUND(8000,2)</f>
        <v>8000</v>
      </c>
      <c r="E122" s="4">
        <f t="shared" si="13"/>
        <v>0</v>
      </c>
      <c r="F122" s="4">
        <f>ROUND(8000,2)</f>
        <v>8000</v>
      </c>
      <c r="G122" s="4">
        <f t="shared" si="15"/>
        <v>0</v>
      </c>
      <c r="H122" s="4">
        <f>ROUND(8000,2)</f>
        <v>8000</v>
      </c>
      <c r="I122" s="4">
        <f t="shared" si="14"/>
        <v>0</v>
      </c>
      <c r="J122" s="4">
        <f>ROUND(8000,2)</f>
        <v>8000</v>
      </c>
      <c r="K122" s="4">
        <f t="shared" si="16"/>
        <v>0</v>
      </c>
    </row>
    <row r="123" spans="1:11" ht="38.25">
      <c r="A123" s="2" t="s">
        <v>760</v>
      </c>
      <c r="B123" s="3" t="s">
        <v>673</v>
      </c>
      <c r="C123" s="3" t="s">
        <v>144</v>
      </c>
      <c r="D123" s="4">
        <f>ROUND(386160,2)</f>
        <v>386160</v>
      </c>
      <c r="E123" s="4">
        <f t="shared" si="13"/>
        <v>0</v>
      </c>
      <c r="F123" s="4">
        <f>ROUND(386160,2)</f>
        <v>386160</v>
      </c>
      <c r="G123" s="4">
        <f t="shared" si="15"/>
        <v>0</v>
      </c>
      <c r="H123" s="4">
        <f>ROUND(219630,2)</f>
        <v>219630</v>
      </c>
      <c r="I123" s="4">
        <f t="shared" si="14"/>
        <v>0</v>
      </c>
      <c r="J123" s="4">
        <f>ROUND(219630,2)</f>
        <v>219630</v>
      </c>
      <c r="K123" s="4">
        <f t="shared" si="16"/>
        <v>0</v>
      </c>
    </row>
    <row r="124" spans="1:11" ht="25.5">
      <c r="A124" s="2" t="s">
        <v>129</v>
      </c>
      <c r="B124" s="3" t="s">
        <v>1142</v>
      </c>
      <c r="C124" s="3" t="s">
        <v>286</v>
      </c>
      <c r="D124" s="4">
        <f>ROUND(176040,2)</f>
        <v>176040</v>
      </c>
      <c r="E124" s="4">
        <f t="shared" si="13"/>
        <v>0</v>
      </c>
      <c r="F124" s="4">
        <f>ROUND(176040,2)</f>
        <v>176040</v>
      </c>
      <c r="G124" s="4">
        <f t="shared" si="15"/>
        <v>0</v>
      </c>
      <c r="H124" s="4">
        <f>ROUND(170235.4,2)</f>
        <v>170235.4</v>
      </c>
      <c r="I124" s="4">
        <f t="shared" si="14"/>
        <v>0</v>
      </c>
      <c r="J124" s="4">
        <f>ROUND(170235.4,2)</f>
        <v>170235.4</v>
      </c>
      <c r="K124" s="4">
        <f t="shared" si="16"/>
        <v>0</v>
      </c>
    </row>
    <row r="125" spans="1:11" ht="25.5">
      <c r="A125" s="2" t="s">
        <v>225</v>
      </c>
      <c r="B125" s="3" t="s">
        <v>1023</v>
      </c>
      <c r="C125" s="3" t="s">
        <v>531</v>
      </c>
      <c r="D125" s="4">
        <f>ROUND(150040,2)</f>
        <v>150040</v>
      </c>
      <c r="E125" s="4">
        <f t="shared" si="13"/>
        <v>0</v>
      </c>
      <c r="F125" s="4">
        <f>ROUND(150040,2)</f>
        <v>150040</v>
      </c>
      <c r="G125" s="4">
        <f t="shared" si="15"/>
        <v>0</v>
      </c>
      <c r="H125" s="4">
        <f>ROUND(150040,2)</f>
        <v>150040</v>
      </c>
      <c r="I125" s="4">
        <f t="shared" si="14"/>
        <v>0</v>
      </c>
      <c r="J125" s="4">
        <f>ROUND(150040,2)</f>
        <v>150040</v>
      </c>
      <c r="K125" s="4">
        <f t="shared" si="16"/>
        <v>0</v>
      </c>
    </row>
    <row r="126" spans="1:11" ht="25.5">
      <c r="A126" s="2" t="s">
        <v>23</v>
      </c>
      <c r="B126" s="3" t="s">
        <v>923</v>
      </c>
      <c r="C126" s="3" t="s">
        <v>867</v>
      </c>
      <c r="D126" s="4">
        <f>ROUND(26000,2)</f>
        <v>26000</v>
      </c>
      <c r="E126" s="4">
        <f t="shared" si="13"/>
        <v>0</v>
      </c>
      <c r="F126" s="4">
        <f>ROUND(26000,2)</f>
        <v>26000</v>
      </c>
      <c r="G126" s="4">
        <f t="shared" si="15"/>
        <v>0</v>
      </c>
      <c r="H126" s="4">
        <f>ROUND(20195.4,2)</f>
        <v>20195.4</v>
      </c>
      <c r="I126" s="4">
        <f t="shared" si="14"/>
        <v>0</v>
      </c>
      <c r="J126" s="4">
        <f>ROUND(20195.4,2)</f>
        <v>20195.4</v>
      </c>
      <c r="K126" s="4">
        <f t="shared" si="16"/>
        <v>0</v>
      </c>
    </row>
    <row r="127" spans="1:11" ht="38.25">
      <c r="A127" s="2" t="s">
        <v>799</v>
      </c>
      <c r="B127" s="3" t="s">
        <v>323</v>
      </c>
      <c r="C127" s="3" t="s">
        <v>926</v>
      </c>
      <c r="D127" s="4">
        <f>ROUND(147140,2)</f>
        <v>147140</v>
      </c>
      <c r="E127" s="4">
        <f t="shared" si="13"/>
        <v>0</v>
      </c>
      <c r="F127" s="4">
        <f>ROUND(147140,2)</f>
        <v>147140</v>
      </c>
      <c r="G127" s="4">
        <f t="shared" si="15"/>
        <v>0</v>
      </c>
      <c r="H127" s="4">
        <f>ROUND(46160,2)</f>
        <v>46160</v>
      </c>
      <c r="I127" s="4">
        <f t="shared" si="14"/>
        <v>0</v>
      </c>
      <c r="J127" s="4">
        <f>ROUND(46160,2)</f>
        <v>46160</v>
      </c>
      <c r="K127" s="4">
        <f t="shared" si="16"/>
        <v>0</v>
      </c>
    </row>
    <row r="128" spans="1:11" ht="38.25">
      <c r="A128" s="2" t="s">
        <v>311</v>
      </c>
      <c r="B128" s="3" t="s">
        <v>2</v>
      </c>
      <c r="C128" s="3" t="s">
        <v>1106</v>
      </c>
      <c r="D128" s="4">
        <f>ROUND(41140,2)</f>
        <v>41140</v>
      </c>
      <c r="E128" s="4">
        <f t="shared" si="13"/>
        <v>0</v>
      </c>
      <c r="F128" s="4">
        <f>ROUND(41140,2)</f>
        <v>41140</v>
      </c>
      <c r="G128" s="4">
        <f t="shared" si="15"/>
        <v>0</v>
      </c>
      <c r="H128" s="4">
        <f>ROUND(40200,2)</f>
        <v>40200</v>
      </c>
      <c r="I128" s="4">
        <f t="shared" si="14"/>
        <v>0</v>
      </c>
      <c r="J128" s="4">
        <f>ROUND(40200,2)</f>
        <v>40200</v>
      </c>
      <c r="K128" s="4">
        <f t="shared" si="16"/>
        <v>0</v>
      </c>
    </row>
    <row r="129" spans="1:11" ht="51">
      <c r="A129" s="2" t="s">
        <v>612</v>
      </c>
      <c r="B129" s="3" t="s">
        <v>338</v>
      </c>
      <c r="C129" s="3" t="s">
        <v>873</v>
      </c>
      <c r="D129" s="4">
        <f>ROUND(106000,2)</f>
        <v>106000</v>
      </c>
      <c r="E129" s="4">
        <f t="shared" si="13"/>
        <v>0</v>
      </c>
      <c r="F129" s="4">
        <f>ROUND(106000,2)</f>
        <v>106000</v>
      </c>
      <c r="G129" s="4">
        <f t="shared" si="15"/>
        <v>0</v>
      </c>
      <c r="H129" s="4">
        <f>ROUND(5960,2)</f>
        <v>5960</v>
      </c>
      <c r="I129" s="4">
        <f t="shared" si="14"/>
        <v>0</v>
      </c>
      <c r="J129" s="4">
        <f>ROUND(5960,2)</f>
        <v>5960</v>
      </c>
      <c r="K129" s="4">
        <f t="shared" si="16"/>
        <v>0</v>
      </c>
    </row>
    <row r="130" spans="1:11" ht="38.25">
      <c r="A130" s="2" t="s">
        <v>488</v>
      </c>
      <c r="B130" s="3" t="s">
        <v>534</v>
      </c>
      <c r="C130" s="3" t="s">
        <v>637</v>
      </c>
      <c r="D130" s="4">
        <f>ROUND(1634927,2)</f>
        <v>1634927</v>
      </c>
      <c r="E130" s="4">
        <f t="shared" si="13"/>
        <v>0</v>
      </c>
      <c r="F130" s="4">
        <f aca="true" t="shared" si="17" ref="F130:F151">ROUND(0,2)</f>
        <v>0</v>
      </c>
      <c r="G130" s="4">
        <f>ROUND(1634927,2)</f>
        <v>1634927</v>
      </c>
      <c r="H130" s="4">
        <f>ROUND(1323551.83,2)</f>
        <v>1323551.83</v>
      </c>
      <c r="I130" s="4">
        <f t="shared" si="14"/>
        <v>0</v>
      </c>
      <c r="J130" s="4">
        <f aca="true" t="shared" si="18" ref="J130:J151">ROUND(0,2)</f>
        <v>0</v>
      </c>
      <c r="K130" s="4">
        <f>ROUND(1323551.83,2)</f>
        <v>1323551.83</v>
      </c>
    </row>
    <row r="131" spans="1:11" ht="25.5">
      <c r="A131" s="2" t="s">
        <v>1053</v>
      </c>
      <c r="B131" s="3" t="s">
        <v>141</v>
      </c>
      <c r="C131" s="3" t="s">
        <v>114</v>
      </c>
      <c r="D131" s="4">
        <f>ROUND(1401797,2)</f>
        <v>1401797</v>
      </c>
      <c r="E131" s="4">
        <f t="shared" si="13"/>
        <v>0</v>
      </c>
      <c r="F131" s="4">
        <f t="shared" si="17"/>
        <v>0</v>
      </c>
      <c r="G131" s="4">
        <f>ROUND(1401797,2)</f>
        <v>1401797</v>
      </c>
      <c r="H131" s="4">
        <f>ROUND(1145784.33,2)</f>
        <v>1145784.33</v>
      </c>
      <c r="I131" s="4">
        <f t="shared" si="14"/>
        <v>0</v>
      </c>
      <c r="J131" s="4">
        <f t="shared" si="18"/>
        <v>0</v>
      </c>
      <c r="K131" s="4">
        <f>ROUND(1145784.33,2)</f>
        <v>1145784.33</v>
      </c>
    </row>
    <row r="132" spans="1:11" ht="51">
      <c r="A132" s="2" t="s">
        <v>371</v>
      </c>
      <c r="B132" s="3" t="s">
        <v>449</v>
      </c>
      <c r="C132" s="3" t="s">
        <v>933</v>
      </c>
      <c r="D132" s="4">
        <f>ROUND(1256527,2)</f>
        <v>1256527</v>
      </c>
      <c r="E132" s="4">
        <f t="shared" si="13"/>
        <v>0</v>
      </c>
      <c r="F132" s="4">
        <f t="shared" si="17"/>
        <v>0</v>
      </c>
      <c r="G132" s="4">
        <f>ROUND(1256527,2)</f>
        <v>1256527</v>
      </c>
      <c r="H132" s="4">
        <f>ROUND(1004088.17,2)</f>
        <v>1004088.17</v>
      </c>
      <c r="I132" s="4">
        <f t="shared" si="14"/>
        <v>0</v>
      </c>
      <c r="J132" s="4">
        <f t="shared" si="18"/>
        <v>0</v>
      </c>
      <c r="K132" s="4">
        <f>ROUND(1004088.17,2)</f>
        <v>1004088.17</v>
      </c>
    </row>
    <row r="133" spans="1:11" ht="25.5">
      <c r="A133" s="2" t="s">
        <v>1099</v>
      </c>
      <c r="B133" s="3" t="s">
        <v>980</v>
      </c>
      <c r="C133" s="3" t="s">
        <v>227</v>
      </c>
      <c r="D133" s="4">
        <f>ROUND(965491,2)</f>
        <v>965491</v>
      </c>
      <c r="E133" s="4">
        <f t="shared" si="13"/>
        <v>0</v>
      </c>
      <c r="F133" s="4">
        <f t="shared" si="17"/>
        <v>0</v>
      </c>
      <c r="G133" s="4">
        <f>ROUND(965491,2)</f>
        <v>965491</v>
      </c>
      <c r="H133" s="4">
        <f>ROUND(821886.36,2)</f>
        <v>821886.36</v>
      </c>
      <c r="I133" s="4">
        <f t="shared" si="14"/>
        <v>0</v>
      </c>
      <c r="J133" s="4">
        <f t="shared" si="18"/>
        <v>0</v>
      </c>
      <c r="K133" s="4">
        <f>ROUND(821886.36,2)</f>
        <v>821886.36</v>
      </c>
    </row>
    <row r="134" spans="1:11" ht="38.25">
      <c r="A134" s="2" t="s">
        <v>942</v>
      </c>
      <c r="B134" s="3" t="s">
        <v>1096</v>
      </c>
      <c r="C134" s="3" t="s">
        <v>144</v>
      </c>
      <c r="D134" s="4">
        <f>ROUND(291036,2)</f>
        <v>291036</v>
      </c>
      <c r="E134" s="4">
        <f aca="true" t="shared" si="19" ref="E134:E151">ROUND(0,2)</f>
        <v>0</v>
      </c>
      <c r="F134" s="4">
        <f t="shared" si="17"/>
        <v>0</v>
      </c>
      <c r="G134" s="4">
        <f>ROUND(291036,2)</f>
        <v>291036</v>
      </c>
      <c r="H134" s="4">
        <f>ROUND(182201.81,2)</f>
        <v>182201.81</v>
      </c>
      <c r="I134" s="4">
        <f aca="true" t="shared" si="20" ref="I134:I151">ROUND(0,2)</f>
        <v>0</v>
      </c>
      <c r="J134" s="4">
        <f t="shared" si="18"/>
        <v>0</v>
      </c>
      <c r="K134" s="4">
        <f>ROUND(182201.81,2)</f>
        <v>182201.81</v>
      </c>
    </row>
    <row r="135" spans="1:11" ht="25.5">
      <c r="A135" s="2" t="s">
        <v>404</v>
      </c>
      <c r="B135" s="3" t="s">
        <v>744</v>
      </c>
      <c r="C135" s="3" t="s">
        <v>286</v>
      </c>
      <c r="D135" s="4">
        <f>ROUND(145270,2)</f>
        <v>145270</v>
      </c>
      <c r="E135" s="4">
        <f t="shared" si="19"/>
        <v>0</v>
      </c>
      <c r="F135" s="4">
        <f t="shared" si="17"/>
        <v>0</v>
      </c>
      <c r="G135" s="4">
        <f>ROUND(145270,2)</f>
        <v>145270</v>
      </c>
      <c r="H135" s="4">
        <f>ROUND(141696.16,2)</f>
        <v>141696.16</v>
      </c>
      <c r="I135" s="4">
        <f t="shared" si="20"/>
        <v>0</v>
      </c>
      <c r="J135" s="4">
        <f t="shared" si="18"/>
        <v>0</v>
      </c>
      <c r="K135" s="4">
        <f>ROUND(141696.16,2)</f>
        <v>141696.16</v>
      </c>
    </row>
    <row r="136" spans="1:11" ht="25.5">
      <c r="A136" s="2" t="s">
        <v>937</v>
      </c>
      <c r="B136" s="3" t="s">
        <v>38</v>
      </c>
      <c r="C136" s="3" t="s">
        <v>736</v>
      </c>
      <c r="D136" s="4">
        <f>ROUND(6000,2)</f>
        <v>6000</v>
      </c>
      <c r="E136" s="4">
        <f t="shared" si="19"/>
        <v>0</v>
      </c>
      <c r="F136" s="4">
        <f t="shared" si="17"/>
        <v>0</v>
      </c>
      <c r="G136" s="4">
        <f>ROUND(6000,2)</f>
        <v>6000</v>
      </c>
      <c r="H136" s="4">
        <f>ROUND(2467.03,2)</f>
        <v>2467.03</v>
      </c>
      <c r="I136" s="4">
        <f t="shared" si="20"/>
        <v>0</v>
      </c>
      <c r="J136" s="4">
        <f t="shared" si="18"/>
        <v>0</v>
      </c>
      <c r="K136" s="4">
        <f>ROUND(2467.03,2)</f>
        <v>2467.03</v>
      </c>
    </row>
    <row r="137" spans="1:11" ht="38.25">
      <c r="A137" s="2" t="s">
        <v>147</v>
      </c>
      <c r="B137" s="3" t="s">
        <v>74</v>
      </c>
      <c r="C137" s="3" t="s">
        <v>815</v>
      </c>
      <c r="D137" s="4">
        <f>ROUND(50000,2)</f>
        <v>50000</v>
      </c>
      <c r="E137" s="4">
        <f t="shared" si="19"/>
        <v>0</v>
      </c>
      <c r="F137" s="4">
        <f t="shared" si="17"/>
        <v>0</v>
      </c>
      <c r="G137" s="4">
        <f>ROUND(50000,2)</f>
        <v>50000</v>
      </c>
      <c r="H137" s="4">
        <f>ROUND(50000,2)</f>
        <v>50000</v>
      </c>
      <c r="I137" s="4">
        <f t="shared" si="20"/>
        <v>0</v>
      </c>
      <c r="J137" s="4">
        <f t="shared" si="18"/>
        <v>0</v>
      </c>
      <c r="K137" s="4">
        <f>ROUND(50000,2)</f>
        <v>50000</v>
      </c>
    </row>
    <row r="138" spans="1:11" ht="25.5">
      <c r="A138" s="2" t="s">
        <v>654</v>
      </c>
      <c r="B138" s="3" t="s">
        <v>807</v>
      </c>
      <c r="C138" s="3" t="s">
        <v>867</v>
      </c>
      <c r="D138" s="4">
        <f>ROUND(89270,2)</f>
        <v>89270</v>
      </c>
      <c r="E138" s="4">
        <f t="shared" si="19"/>
        <v>0</v>
      </c>
      <c r="F138" s="4">
        <f t="shared" si="17"/>
        <v>0</v>
      </c>
      <c r="G138" s="4">
        <f>ROUND(89270,2)</f>
        <v>89270</v>
      </c>
      <c r="H138" s="4">
        <f>ROUND(89229.13,2)</f>
        <v>89229.13</v>
      </c>
      <c r="I138" s="4">
        <f t="shared" si="20"/>
        <v>0</v>
      </c>
      <c r="J138" s="4">
        <f t="shared" si="18"/>
        <v>0</v>
      </c>
      <c r="K138" s="4">
        <f>ROUND(89229.13,2)</f>
        <v>89229.13</v>
      </c>
    </row>
    <row r="139" spans="1:11" ht="38.25">
      <c r="A139" s="2" t="s">
        <v>1021</v>
      </c>
      <c r="B139" s="3" t="s">
        <v>200</v>
      </c>
      <c r="C139" s="3" t="s">
        <v>926</v>
      </c>
      <c r="D139" s="4">
        <f>ROUND(233130,2)</f>
        <v>233130</v>
      </c>
      <c r="E139" s="4">
        <f t="shared" si="19"/>
        <v>0</v>
      </c>
      <c r="F139" s="4">
        <f t="shared" si="17"/>
        <v>0</v>
      </c>
      <c r="G139" s="4">
        <f>ROUND(233130,2)</f>
        <v>233130</v>
      </c>
      <c r="H139" s="4">
        <f>ROUND(177767.5,2)</f>
        <v>177767.5</v>
      </c>
      <c r="I139" s="4">
        <f t="shared" si="20"/>
        <v>0</v>
      </c>
      <c r="J139" s="4">
        <f t="shared" si="18"/>
        <v>0</v>
      </c>
      <c r="K139" s="4">
        <f>ROUND(177767.5,2)</f>
        <v>177767.5</v>
      </c>
    </row>
    <row r="140" spans="1:11" ht="38.25">
      <c r="A140" s="2" t="s">
        <v>902</v>
      </c>
      <c r="B140" s="3" t="s">
        <v>502</v>
      </c>
      <c r="C140" s="3" t="s">
        <v>1106</v>
      </c>
      <c r="D140" s="4">
        <f>ROUND(2300,2)</f>
        <v>2300</v>
      </c>
      <c r="E140" s="4">
        <f t="shared" si="19"/>
        <v>0</v>
      </c>
      <c r="F140" s="4">
        <f t="shared" si="17"/>
        <v>0</v>
      </c>
      <c r="G140" s="4">
        <f>ROUND(2300,2)</f>
        <v>2300</v>
      </c>
      <c r="H140" s="4">
        <f>ROUND(2300,2)</f>
        <v>2300</v>
      </c>
      <c r="I140" s="4">
        <f t="shared" si="20"/>
        <v>0</v>
      </c>
      <c r="J140" s="4">
        <f t="shared" si="18"/>
        <v>0</v>
      </c>
      <c r="K140" s="4">
        <f>ROUND(2300,2)</f>
        <v>2300</v>
      </c>
    </row>
    <row r="141" spans="1:11" ht="51">
      <c r="A141" s="2" t="s">
        <v>34</v>
      </c>
      <c r="B141" s="3" t="s">
        <v>222</v>
      </c>
      <c r="C141" s="3" t="s">
        <v>873</v>
      </c>
      <c r="D141" s="4">
        <f>ROUND(230830,2)</f>
        <v>230830</v>
      </c>
      <c r="E141" s="4">
        <f t="shared" si="19"/>
        <v>0</v>
      </c>
      <c r="F141" s="4">
        <f t="shared" si="17"/>
        <v>0</v>
      </c>
      <c r="G141" s="4">
        <f>ROUND(230830,2)</f>
        <v>230830</v>
      </c>
      <c r="H141" s="4">
        <f>ROUND(175467.5,2)</f>
        <v>175467.5</v>
      </c>
      <c r="I141" s="4">
        <f t="shared" si="20"/>
        <v>0</v>
      </c>
      <c r="J141" s="4">
        <f t="shared" si="18"/>
        <v>0</v>
      </c>
      <c r="K141" s="4">
        <f>ROUND(175467.5,2)</f>
        <v>175467.5</v>
      </c>
    </row>
    <row r="142" spans="1:11" ht="76.5">
      <c r="A142" s="2" t="s">
        <v>1123</v>
      </c>
      <c r="B142" s="3" t="s">
        <v>199</v>
      </c>
      <c r="C142" s="3" t="s">
        <v>165</v>
      </c>
      <c r="D142" s="4">
        <f>ROUND(719701,2)</f>
        <v>719701</v>
      </c>
      <c r="E142" s="4">
        <f t="shared" si="19"/>
        <v>0</v>
      </c>
      <c r="F142" s="4">
        <f t="shared" si="17"/>
        <v>0</v>
      </c>
      <c r="G142" s="4">
        <f>ROUND(719701,2)</f>
        <v>719701</v>
      </c>
      <c r="H142" s="4">
        <f>ROUND(546497.11,2)</f>
        <v>546497.11</v>
      </c>
      <c r="I142" s="4">
        <f t="shared" si="20"/>
        <v>0</v>
      </c>
      <c r="J142" s="4">
        <f t="shared" si="18"/>
        <v>0</v>
      </c>
      <c r="K142" s="4">
        <f>ROUND(546497.11,2)</f>
        <v>546497.11</v>
      </c>
    </row>
    <row r="143" spans="1:11" ht="25.5">
      <c r="A143" s="2" t="s">
        <v>417</v>
      </c>
      <c r="B143" s="3" t="s">
        <v>337</v>
      </c>
      <c r="C143" s="3" t="s">
        <v>114</v>
      </c>
      <c r="D143" s="4">
        <f>ROUND(474300,2)</f>
        <v>474300</v>
      </c>
      <c r="E143" s="4">
        <f t="shared" si="19"/>
        <v>0</v>
      </c>
      <c r="F143" s="4">
        <f t="shared" si="17"/>
        <v>0</v>
      </c>
      <c r="G143" s="4">
        <f>ROUND(474300,2)</f>
        <v>474300</v>
      </c>
      <c r="H143" s="4">
        <f>ROUND(401760.67,2)</f>
        <v>401760.67</v>
      </c>
      <c r="I143" s="4">
        <f t="shared" si="20"/>
        <v>0</v>
      </c>
      <c r="J143" s="4">
        <f t="shared" si="18"/>
        <v>0</v>
      </c>
      <c r="K143" s="4">
        <f>ROUND(401760.67,2)</f>
        <v>401760.67</v>
      </c>
    </row>
    <row r="144" spans="1:11" ht="25.5">
      <c r="A144" s="2" t="s">
        <v>1042</v>
      </c>
      <c r="B144" s="3" t="s">
        <v>956</v>
      </c>
      <c r="C144" s="3" t="s">
        <v>286</v>
      </c>
      <c r="D144" s="4">
        <f>ROUND(201300,2)</f>
        <v>201300</v>
      </c>
      <c r="E144" s="4">
        <f t="shared" si="19"/>
        <v>0</v>
      </c>
      <c r="F144" s="4">
        <f t="shared" si="17"/>
        <v>0</v>
      </c>
      <c r="G144" s="4">
        <f>ROUND(201300,2)</f>
        <v>201300</v>
      </c>
      <c r="H144" s="4">
        <f>ROUND(128760.67,2)</f>
        <v>128760.67</v>
      </c>
      <c r="I144" s="4">
        <f t="shared" si="20"/>
        <v>0</v>
      </c>
      <c r="J144" s="4">
        <f t="shared" si="18"/>
        <v>0</v>
      </c>
      <c r="K144" s="4">
        <f>ROUND(128760.67,2)</f>
        <v>128760.67</v>
      </c>
    </row>
    <row r="145" spans="1:11" ht="38.25">
      <c r="A145" s="2" t="s">
        <v>193</v>
      </c>
      <c r="B145" s="3" t="s">
        <v>348</v>
      </c>
      <c r="C145" s="3" t="s">
        <v>815</v>
      </c>
      <c r="D145" s="4">
        <f>ROUND(194300,2)</f>
        <v>194300</v>
      </c>
      <c r="E145" s="4">
        <f t="shared" si="19"/>
        <v>0</v>
      </c>
      <c r="F145" s="4">
        <f t="shared" si="17"/>
        <v>0</v>
      </c>
      <c r="G145" s="4">
        <f>ROUND(194300,2)</f>
        <v>194300</v>
      </c>
      <c r="H145" s="4">
        <f>ROUND(121816.76,2)</f>
        <v>121816.76</v>
      </c>
      <c r="I145" s="4">
        <f t="shared" si="20"/>
        <v>0</v>
      </c>
      <c r="J145" s="4">
        <f t="shared" si="18"/>
        <v>0</v>
      </c>
      <c r="K145" s="4">
        <f>ROUND(121816.76,2)</f>
        <v>121816.76</v>
      </c>
    </row>
    <row r="146" spans="1:11" ht="25.5">
      <c r="A146" s="2" t="s">
        <v>901</v>
      </c>
      <c r="B146" s="3" t="s">
        <v>1135</v>
      </c>
      <c r="C146" s="3" t="s">
        <v>867</v>
      </c>
      <c r="D146" s="4">
        <f>ROUND(7000,2)</f>
        <v>7000</v>
      </c>
      <c r="E146" s="4">
        <f t="shared" si="19"/>
        <v>0</v>
      </c>
      <c r="F146" s="4">
        <f t="shared" si="17"/>
        <v>0</v>
      </c>
      <c r="G146" s="4">
        <f>ROUND(7000,2)</f>
        <v>7000</v>
      </c>
      <c r="H146" s="4">
        <f>ROUND(6943.91,2)</f>
        <v>6943.91</v>
      </c>
      <c r="I146" s="4">
        <f t="shared" si="20"/>
        <v>0</v>
      </c>
      <c r="J146" s="4">
        <f t="shared" si="18"/>
        <v>0</v>
      </c>
      <c r="K146" s="4">
        <f>ROUND(6943.91,2)</f>
        <v>6943.91</v>
      </c>
    </row>
    <row r="147" spans="1:11" ht="38.25">
      <c r="A147" s="2" t="s">
        <v>775</v>
      </c>
      <c r="B147" s="3" t="s">
        <v>322</v>
      </c>
      <c r="C147" s="3" t="s">
        <v>149</v>
      </c>
      <c r="D147" s="4">
        <f>ROUND(273000,2)</f>
        <v>273000</v>
      </c>
      <c r="E147" s="4">
        <f t="shared" si="19"/>
        <v>0</v>
      </c>
      <c r="F147" s="4">
        <f t="shared" si="17"/>
        <v>0</v>
      </c>
      <c r="G147" s="4">
        <f>ROUND(273000,2)</f>
        <v>273000</v>
      </c>
      <c r="H147" s="4">
        <f>ROUND(273000,2)</f>
        <v>273000</v>
      </c>
      <c r="I147" s="4">
        <f t="shared" si="20"/>
        <v>0</v>
      </c>
      <c r="J147" s="4">
        <f t="shared" si="18"/>
        <v>0</v>
      </c>
      <c r="K147" s="4">
        <f>ROUND(273000,2)</f>
        <v>273000</v>
      </c>
    </row>
    <row r="148" spans="1:11" ht="89.25">
      <c r="A148" s="2" t="s">
        <v>767</v>
      </c>
      <c r="B148" s="3" t="s">
        <v>520</v>
      </c>
      <c r="C148" s="3" t="s">
        <v>364</v>
      </c>
      <c r="D148" s="4">
        <f>ROUND(273000,2)</f>
        <v>273000</v>
      </c>
      <c r="E148" s="4">
        <f t="shared" si="19"/>
        <v>0</v>
      </c>
      <c r="F148" s="4">
        <f t="shared" si="17"/>
        <v>0</v>
      </c>
      <c r="G148" s="4">
        <f>ROUND(273000,2)</f>
        <v>273000</v>
      </c>
      <c r="H148" s="4">
        <f>ROUND(273000,2)</f>
        <v>273000</v>
      </c>
      <c r="I148" s="4">
        <f t="shared" si="20"/>
        <v>0</v>
      </c>
      <c r="J148" s="4">
        <f t="shared" si="18"/>
        <v>0</v>
      </c>
      <c r="K148" s="4">
        <f>ROUND(273000,2)</f>
        <v>273000</v>
      </c>
    </row>
    <row r="149" spans="1:11" ht="38.25">
      <c r="A149" s="2" t="s">
        <v>1078</v>
      </c>
      <c r="B149" s="3" t="s">
        <v>533</v>
      </c>
      <c r="C149" s="3" t="s">
        <v>926</v>
      </c>
      <c r="D149" s="4">
        <f>ROUND(245401,2)</f>
        <v>245401</v>
      </c>
      <c r="E149" s="4">
        <f t="shared" si="19"/>
        <v>0</v>
      </c>
      <c r="F149" s="4">
        <f t="shared" si="17"/>
        <v>0</v>
      </c>
      <c r="G149" s="4">
        <f>ROUND(245401,2)</f>
        <v>245401</v>
      </c>
      <c r="H149" s="4">
        <f>ROUND(144736.44,2)</f>
        <v>144736.44</v>
      </c>
      <c r="I149" s="4">
        <f t="shared" si="20"/>
        <v>0</v>
      </c>
      <c r="J149" s="4">
        <f t="shared" si="18"/>
        <v>0</v>
      </c>
      <c r="K149" s="4">
        <f>ROUND(144736.44,2)</f>
        <v>144736.44</v>
      </c>
    </row>
    <row r="150" spans="1:11" ht="38.25">
      <c r="A150" s="2" t="s">
        <v>627</v>
      </c>
      <c r="B150" s="3" t="s">
        <v>237</v>
      </c>
      <c r="C150" s="3" t="s">
        <v>1106</v>
      </c>
      <c r="D150" s="4">
        <f>ROUND(26000,2)</f>
        <v>26000</v>
      </c>
      <c r="E150" s="4">
        <f t="shared" si="19"/>
        <v>0</v>
      </c>
      <c r="F150" s="4">
        <f t="shared" si="17"/>
        <v>0</v>
      </c>
      <c r="G150" s="4">
        <f>ROUND(26000,2)</f>
        <v>26000</v>
      </c>
      <c r="H150" s="4">
        <f>ROUND(25901,2)</f>
        <v>25901</v>
      </c>
      <c r="I150" s="4">
        <f t="shared" si="20"/>
        <v>0</v>
      </c>
      <c r="J150" s="4">
        <f t="shared" si="18"/>
        <v>0</v>
      </c>
      <c r="K150" s="4">
        <f>ROUND(25901,2)</f>
        <v>25901</v>
      </c>
    </row>
    <row r="151" spans="1:11" ht="51">
      <c r="A151" s="2" t="s">
        <v>301</v>
      </c>
      <c r="B151" s="3" t="s">
        <v>559</v>
      </c>
      <c r="C151" s="3" t="s">
        <v>873</v>
      </c>
      <c r="D151" s="4">
        <f>ROUND(219401,2)</f>
        <v>219401</v>
      </c>
      <c r="E151" s="4">
        <f t="shared" si="19"/>
        <v>0</v>
      </c>
      <c r="F151" s="4">
        <f t="shared" si="17"/>
        <v>0</v>
      </c>
      <c r="G151" s="4">
        <f>ROUND(219401,2)</f>
        <v>219401</v>
      </c>
      <c r="H151" s="4">
        <f>ROUND(118835.44,2)</f>
        <v>118835.44</v>
      </c>
      <c r="I151" s="4">
        <f t="shared" si="20"/>
        <v>0</v>
      </c>
      <c r="J151" s="4">
        <f t="shared" si="18"/>
        <v>0</v>
      </c>
      <c r="K151" s="4">
        <f>ROUND(118835.44,2)</f>
        <v>118835.44</v>
      </c>
    </row>
    <row r="152" spans="1:11" ht="25.5">
      <c r="A152" s="2" t="s">
        <v>15</v>
      </c>
      <c r="B152" s="3" t="s">
        <v>818</v>
      </c>
      <c r="C152" s="3" t="s">
        <v>498</v>
      </c>
      <c r="D152" s="4">
        <f>ROUND(20544071.68,2)</f>
        <v>20544071.68</v>
      </c>
      <c r="E152" s="4">
        <f>ROUND(2393853,2)</f>
        <v>2393853</v>
      </c>
      <c r="F152" s="4">
        <f>ROUND(3776276.68,2)</f>
        <v>3776276.68</v>
      </c>
      <c r="G152" s="4">
        <f>ROUND(19161648,2)</f>
        <v>19161648</v>
      </c>
      <c r="H152" s="4">
        <f>ROUND(18052487.18,2)</f>
        <v>18052487.18</v>
      </c>
      <c r="I152" s="4">
        <f>ROUND(729851,2)</f>
        <v>729851</v>
      </c>
      <c r="J152" s="4">
        <f>ROUND(1345847.81,2)</f>
        <v>1345847.81</v>
      </c>
      <c r="K152" s="4">
        <f>ROUND(17436490.37,2)</f>
        <v>17436490.37</v>
      </c>
    </row>
    <row r="153" spans="1:11" ht="25.5">
      <c r="A153" s="2" t="s">
        <v>881</v>
      </c>
      <c r="B153" s="3" t="s">
        <v>930</v>
      </c>
      <c r="C153" s="3" t="s">
        <v>114</v>
      </c>
      <c r="D153" s="4">
        <f>ROUND(13238334.26,2)</f>
        <v>13238334.26</v>
      </c>
      <c r="E153" s="4">
        <f>ROUND(2393853,2)</f>
        <v>2393853</v>
      </c>
      <c r="F153" s="4">
        <f>ROUND(3670539.26,2)</f>
        <v>3670539.26</v>
      </c>
      <c r="G153" s="4">
        <f>ROUND(11961648,2)</f>
        <v>11961648</v>
      </c>
      <c r="H153" s="4">
        <f>ROUND(10805574.98,2)</f>
        <v>10805574.98</v>
      </c>
      <c r="I153" s="4">
        <f>ROUND(729851,2)</f>
        <v>729851</v>
      </c>
      <c r="J153" s="4">
        <f>ROUND(1298935.61,2)</f>
        <v>1298935.61</v>
      </c>
      <c r="K153" s="4">
        <f>ROUND(10236490.37,2)</f>
        <v>10236490.37</v>
      </c>
    </row>
    <row r="154" spans="1:11" ht="51">
      <c r="A154" s="2" t="s">
        <v>219</v>
      </c>
      <c r="B154" s="3" t="s">
        <v>619</v>
      </c>
      <c r="C154" s="3" t="s">
        <v>933</v>
      </c>
      <c r="D154" s="4">
        <f>ROUND(1131141.04,2)</f>
        <v>1131141.04</v>
      </c>
      <c r="E154" s="4">
        <f aca="true" t="shared" si="21" ref="E154:E161">ROUND(0,2)</f>
        <v>0</v>
      </c>
      <c r="F154" s="4">
        <f>ROUND(1131141.04,2)</f>
        <v>1131141.04</v>
      </c>
      <c r="G154" s="4">
        <f>ROUND(0,2)</f>
        <v>0</v>
      </c>
      <c r="H154" s="4">
        <f>ROUND(539423.95,2)</f>
        <v>539423.95</v>
      </c>
      <c r="I154" s="4">
        <f aca="true" t="shared" si="22" ref="I154:I161">ROUND(0,2)</f>
        <v>0</v>
      </c>
      <c r="J154" s="4">
        <f>ROUND(539423.95,2)</f>
        <v>539423.95</v>
      </c>
      <c r="K154" s="4">
        <f>ROUND(0,2)</f>
        <v>0</v>
      </c>
    </row>
    <row r="155" spans="1:11" ht="25.5">
      <c r="A155" s="2" t="s">
        <v>677</v>
      </c>
      <c r="B155" s="3" t="s">
        <v>95</v>
      </c>
      <c r="C155" s="3" t="s">
        <v>227</v>
      </c>
      <c r="D155" s="4">
        <f>ROUND(827215.04,2)</f>
        <v>827215.04</v>
      </c>
      <c r="E155" s="4">
        <f t="shared" si="21"/>
        <v>0</v>
      </c>
      <c r="F155" s="4">
        <f>ROUND(827215.04,2)</f>
        <v>827215.04</v>
      </c>
      <c r="G155" s="4">
        <f>ROUND(0,2)</f>
        <v>0</v>
      </c>
      <c r="H155" s="4">
        <f>ROUND(427799,2)</f>
        <v>427799</v>
      </c>
      <c r="I155" s="4">
        <f t="shared" si="22"/>
        <v>0</v>
      </c>
      <c r="J155" s="4">
        <f>ROUND(427799,2)</f>
        <v>427799</v>
      </c>
      <c r="K155" s="4">
        <f>ROUND(0,2)</f>
        <v>0</v>
      </c>
    </row>
    <row r="156" spans="1:11" ht="25.5">
      <c r="A156" s="2" t="s">
        <v>138</v>
      </c>
      <c r="B156" s="3" t="s">
        <v>831</v>
      </c>
      <c r="C156" s="3" t="s">
        <v>343</v>
      </c>
      <c r="D156" s="4">
        <f>ROUND(17200,2)</f>
        <v>17200</v>
      </c>
      <c r="E156" s="4">
        <f t="shared" si="21"/>
        <v>0</v>
      </c>
      <c r="F156" s="4">
        <f>ROUND(17200,2)</f>
        <v>17200</v>
      </c>
      <c r="G156" s="4">
        <f>ROUND(0,2)</f>
        <v>0</v>
      </c>
      <c r="H156" s="4">
        <f>ROUND(7600,2)</f>
        <v>7600</v>
      </c>
      <c r="I156" s="4">
        <f t="shared" si="22"/>
        <v>0</v>
      </c>
      <c r="J156" s="4">
        <f>ROUND(7600,2)</f>
        <v>7600</v>
      </c>
      <c r="K156" s="4">
        <f>ROUND(0,2)</f>
        <v>0</v>
      </c>
    </row>
    <row r="157" spans="1:11" ht="38.25">
      <c r="A157" s="2" t="s">
        <v>766</v>
      </c>
      <c r="B157" s="3" t="s">
        <v>275</v>
      </c>
      <c r="C157" s="3" t="s">
        <v>144</v>
      </c>
      <c r="D157" s="4">
        <f>ROUND(286726,2)</f>
        <v>286726</v>
      </c>
      <c r="E157" s="4">
        <f t="shared" si="21"/>
        <v>0</v>
      </c>
      <c r="F157" s="4">
        <f>ROUND(286726,2)</f>
        <v>286726</v>
      </c>
      <c r="G157" s="4">
        <f>ROUND(0,2)</f>
        <v>0</v>
      </c>
      <c r="H157" s="4">
        <f>ROUND(104024.95,2)</f>
        <v>104024.95</v>
      </c>
      <c r="I157" s="4">
        <f t="shared" si="22"/>
        <v>0</v>
      </c>
      <c r="J157" s="4">
        <f>ROUND(104024.95,2)</f>
        <v>104024.95</v>
      </c>
      <c r="K157" s="4">
        <f>ROUND(0,2)</f>
        <v>0</v>
      </c>
    </row>
    <row r="158" spans="1:11" ht="25.5">
      <c r="A158" s="2" t="s">
        <v>267</v>
      </c>
      <c r="B158" s="3" t="s">
        <v>317</v>
      </c>
      <c r="C158" s="3" t="s">
        <v>286</v>
      </c>
      <c r="D158" s="4">
        <f>ROUND(12099110.58,2)</f>
        <v>12099110.58</v>
      </c>
      <c r="E158" s="4">
        <f t="shared" si="21"/>
        <v>0</v>
      </c>
      <c r="F158" s="4">
        <f>ROUND(137462.58,2)</f>
        <v>137462.58</v>
      </c>
      <c r="G158" s="4">
        <f>ROUND(11961648,2)</f>
        <v>11961648</v>
      </c>
      <c r="H158" s="4">
        <f>ROUND(10258770.48,2)</f>
        <v>10258770.48</v>
      </c>
      <c r="I158" s="4">
        <f t="shared" si="22"/>
        <v>0</v>
      </c>
      <c r="J158" s="4">
        <f>ROUND(22280.11,2)</f>
        <v>22280.11</v>
      </c>
      <c r="K158" s="4">
        <f>ROUND(10236490.37,2)</f>
        <v>10236490.37</v>
      </c>
    </row>
    <row r="159" spans="1:11" ht="25.5">
      <c r="A159" s="2" t="s">
        <v>782</v>
      </c>
      <c r="B159" s="3" t="s">
        <v>1017</v>
      </c>
      <c r="C159" s="3" t="s">
        <v>736</v>
      </c>
      <c r="D159" s="4">
        <f>ROUND(34500,2)</f>
        <v>34500</v>
      </c>
      <c r="E159" s="4">
        <f t="shared" si="21"/>
        <v>0</v>
      </c>
      <c r="F159" s="4">
        <f>ROUND(34500,2)</f>
        <v>34500</v>
      </c>
      <c r="G159" s="4">
        <f>ROUND(0,2)</f>
        <v>0</v>
      </c>
      <c r="H159" s="4">
        <f>ROUND(19317.53,2)</f>
        <v>19317.53</v>
      </c>
      <c r="I159" s="4">
        <f t="shared" si="22"/>
        <v>0</v>
      </c>
      <c r="J159" s="4">
        <f>ROUND(19317.53,2)</f>
        <v>19317.53</v>
      </c>
      <c r="K159" s="4">
        <f>ROUND(0,2)</f>
        <v>0</v>
      </c>
    </row>
    <row r="160" spans="1:11" ht="38.25">
      <c r="A160" s="2" t="s">
        <v>953</v>
      </c>
      <c r="B160" s="3" t="s">
        <v>994</v>
      </c>
      <c r="C160" s="3" t="s">
        <v>815</v>
      </c>
      <c r="D160" s="4">
        <f>ROUND(8657176,2)</f>
        <v>8657176</v>
      </c>
      <c r="E160" s="4">
        <f t="shared" si="21"/>
        <v>0</v>
      </c>
      <c r="F160" s="4">
        <f>ROUND(0,2)</f>
        <v>0</v>
      </c>
      <c r="G160" s="4">
        <f>ROUND(8657176,2)</f>
        <v>8657176</v>
      </c>
      <c r="H160" s="4">
        <f>ROUND(8627230.8,2)</f>
        <v>8627230.8</v>
      </c>
      <c r="I160" s="4">
        <f t="shared" si="22"/>
        <v>0</v>
      </c>
      <c r="J160" s="4">
        <f>ROUND(0,2)</f>
        <v>0</v>
      </c>
      <c r="K160" s="4">
        <f>ROUND(8627230.8,2)</f>
        <v>8627230.8</v>
      </c>
    </row>
    <row r="161" spans="1:11" ht="25.5">
      <c r="A161" s="2" t="s">
        <v>392</v>
      </c>
      <c r="B161" s="3" t="s">
        <v>554</v>
      </c>
      <c r="C161" s="3" t="s">
        <v>867</v>
      </c>
      <c r="D161" s="4">
        <f>ROUND(3407434.58,2)</f>
        <v>3407434.58</v>
      </c>
      <c r="E161" s="4">
        <f t="shared" si="21"/>
        <v>0</v>
      </c>
      <c r="F161" s="4">
        <f>ROUND(102962.58,2)</f>
        <v>102962.58</v>
      </c>
      <c r="G161" s="4">
        <f>ROUND(3304472,2)</f>
        <v>3304472</v>
      </c>
      <c r="H161" s="4">
        <f>ROUND(1612222.15,2)</f>
        <v>1612222.15</v>
      </c>
      <c r="I161" s="4">
        <f t="shared" si="22"/>
        <v>0</v>
      </c>
      <c r="J161" s="4">
        <f>ROUND(2962.58,2)</f>
        <v>2962.58</v>
      </c>
      <c r="K161" s="4">
        <f>ROUND(1609259.57,2)</f>
        <v>1609259.57</v>
      </c>
    </row>
    <row r="162" spans="1:11" ht="38.25">
      <c r="A162" s="2" t="s">
        <v>186</v>
      </c>
      <c r="B162" s="3" t="s">
        <v>646</v>
      </c>
      <c r="C162" s="3" t="s">
        <v>258</v>
      </c>
      <c r="D162" s="4">
        <f>ROUND(0,2)</f>
        <v>0</v>
      </c>
      <c r="E162" s="4">
        <f>ROUND(2393853,2)</f>
        <v>2393853</v>
      </c>
      <c r="F162" s="4">
        <f>ROUND(2393853,2)</f>
        <v>2393853</v>
      </c>
      <c r="G162" s="4">
        <f>ROUND(0,2)</f>
        <v>0</v>
      </c>
      <c r="H162" s="4">
        <f>ROUND(0,2)</f>
        <v>0</v>
      </c>
      <c r="I162" s="4">
        <f>ROUND(729851,2)</f>
        <v>729851</v>
      </c>
      <c r="J162" s="4">
        <f>ROUND(729851,2)</f>
        <v>729851</v>
      </c>
      <c r="K162" s="4">
        <f>ROUND(0,2)</f>
        <v>0</v>
      </c>
    </row>
    <row r="163" spans="1:11" ht="76.5">
      <c r="A163" s="2" t="s">
        <v>914</v>
      </c>
      <c r="B163" s="3" t="s">
        <v>73</v>
      </c>
      <c r="C163" s="3" t="s">
        <v>1192</v>
      </c>
      <c r="D163" s="4">
        <f>ROUND(0,2)</f>
        <v>0</v>
      </c>
      <c r="E163" s="4">
        <f>ROUND(2393853,2)</f>
        <v>2393853</v>
      </c>
      <c r="F163" s="4">
        <f>ROUND(2393853,2)</f>
        <v>2393853</v>
      </c>
      <c r="G163" s="4">
        <f>ROUND(0,2)</f>
        <v>0</v>
      </c>
      <c r="H163" s="4">
        <f>ROUND(0,2)</f>
        <v>0</v>
      </c>
      <c r="I163" s="4">
        <f>ROUND(729851,2)</f>
        <v>729851</v>
      </c>
      <c r="J163" s="4">
        <f>ROUND(729851,2)</f>
        <v>729851</v>
      </c>
      <c r="K163" s="4">
        <f>ROUND(0,2)</f>
        <v>0</v>
      </c>
    </row>
    <row r="164" spans="1:11" ht="25.5">
      <c r="A164" s="2" t="s">
        <v>137</v>
      </c>
      <c r="B164" s="3" t="s">
        <v>662</v>
      </c>
      <c r="C164" s="3" t="s">
        <v>1114</v>
      </c>
      <c r="D164" s="4">
        <f>ROUND(8082.64,2)</f>
        <v>8082.64</v>
      </c>
      <c r="E164" s="4">
        <f aca="true" t="shared" si="23" ref="E164:E186">ROUND(0,2)</f>
        <v>0</v>
      </c>
      <c r="F164" s="4">
        <f>ROUND(8082.64,2)</f>
        <v>8082.64</v>
      </c>
      <c r="G164" s="4">
        <f>ROUND(0,2)</f>
        <v>0</v>
      </c>
      <c r="H164" s="4">
        <f>ROUND(7380.55,2)</f>
        <v>7380.55</v>
      </c>
      <c r="I164" s="4">
        <f aca="true" t="shared" si="24" ref="I164:I186">ROUND(0,2)</f>
        <v>0</v>
      </c>
      <c r="J164" s="4">
        <f>ROUND(7380.55,2)</f>
        <v>7380.55</v>
      </c>
      <c r="K164" s="4">
        <f>ROUND(0,2)</f>
        <v>0</v>
      </c>
    </row>
    <row r="165" spans="1:11" ht="38.25">
      <c r="A165" s="2" t="s">
        <v>676</v>
      </c>
      <c r="B165" s="3" t="s">
        <v>1154</v>
      </c>
      <c r="C165" s="3" t="s">
        <v>926</v>
      </c>
      <c r="D165" s="4">
        <f>ROUND(7305737.42,2)</f>
        <v>7305737.42</v>
      </c>
      <c r="E165" s="4">
        <f t="shared" si="23"/>
        <v>0</v>
      </c>
      <c r="F165" s="4">
        <f>ROUND(105737.42,2)</f>
        <v>105737.42</v>
      </c>
      <c r="G165" s="4">
        <f>ROUND(7200000,2)</f>
        <v>7200000</v>
      </c>
      <c r="H165" s="4">
        <f>ROUND(7246912.2,2)</f>
        <v>7246912.2</v>
      </c>
      <c r="I165" s="4">
        <f t="shared" si="24"/>
        <v>0</v>
      </c>
      <c r="J165" s="4">
        <f>ROUND(46912.2,2)</f>
        <v>46912.2</v>
      </c>
      <c r="K165" s="4">
        <f>ROUND(7200000,2)</f>
        <v>7200000</v>
      </c>
    </row>
    <row r="166" spans="1:11" ht="38.25">
      <c r="A166" s="2" t="s">
        <v>492</v>
      </c>
      <c r="B166" s="3" t="s">
        <v>858</v>
      </c>
      <c r="C166" s="3" t="s">
        <v>1106</v>
      </c>
      <c r="D166" s="4">
        <f>ROUND(7200000,2)</f>
        <v>7200000</v>
      </c>
      <c r="E166" s="4">
        <f t="shared" si="23"/>
        <v>0</v>
      </c>
      <c r="F166" s="4">
        <f>ROUND(0,2)</f>
        <v>0</v>
      </c>
      <c r="G166" s="4">
        <f>ROUND(7200000,2)</f>
        <v>7200000</v>
      </c>
      <c r="H166" s="4">
        <f>ROUND(7200000,2)</f>
        <v>7200000</v>
      </c>
      <c r="I166" s="4">
        <f t="shared" si="24"/>
        <v>0</v>
      </c>
      <c r="J166" s="4">
        <f>ROUND(0,2)</f>
        <v>0</v>
      </c>
      <c r="K166" s="4">
        <f>ROUND(7200000,2)</f>
        <v>7200000</v>
      </c>
    </row>
    <row r="167" spans="1:11" ht="51">
      <c r="A167" s="2" t="s">
        <v>1004</v>
      </c>
      <c r="B167" s="3" t="s">
        <v>1130</v>
      </c>
      <c r="C167" s="3" t="s">
        <v>873</v>
      </c>
      <c r="D167" s="4">
        <f>ROUND(105737.42,2)</f>
        <v>105737.42</v>
      </c>
      <c r="E167" s="4">
        <f t="shared" si="23"/>
        <v>0</v>
      </c>
      <c r="F167" s="4">
        <f>ROUND(105737.42,2)</f>
        <v>105737.42</v>
      </c>
      <c r="G167" s="4">
        <f aca="true" t="shared" si="25" ref="G167:G179">ROUND(0,2)</f>
        <v>0</v>
      </c>
      <c r="H167" s="4">
        <f>ROUND(46912.2,2)</f>
        <v>46912.2</v>
      </c>
      <c r="I167" s="4">
        <f t="shared" si="24"/>
        <v>0</v>
      </c>
      <c r="J167" s="4">
        <f>ROUND(46912.2,2)</f>
        <v>46912.2</v>
      </c>
      <c r="K167" s="4">
        <f aca="true" t="shared" si="26" ref="K167:K179">ROUND(0,2)</f>
        <v>0</v>
      </c>
    </row>
    <row r="168" spans="1:11" ht="38.25">
      <c r="A168" s="2" t="s">
        <v>724</v>
      </c>
      <c r="B168" s="3" t="s">
        <v>848</v>
      </c>
      <c r="C168" s="3" t="s">
        <v>984</v>
      </c>
      <c r="D168" s="4">
        <f>ROUND(1282423.68,2)</f>
        <v>1282423.68</v>
      </c>
      <c r="E168" s="4">
        <f t="shared" si="23"/>
        <v>0</v>
      </c>
      <c r="F168" s="4">
        <f>ROUND(1282423.68,2)</f>
        <v>1282423.68</v>
      </c>
      <c r="G168" s="4">
        <f t="shared" si="25"/>
        <v>0</v>
      </c>
      <c r="H168" s="4">
        <f>ROUND(615996.81,2)</f>
        <v>615996.81</v>
      </c>
      <c r="I168" s="4">
        <f t="shared" si="24"/>
        <v>0</v>
      </c>
      <c r="J168" s="4">
        <f>ROUND(615996.81,2)</f>
        <v>615996.81</v>
      </c>
      <c r="K168" s="4">
        <f t="shared" si="26"/>
        <v>0</v>
      </c>
    </row>
    <row r="169" spans="1:11" ht="25.5">
      <c r="A169" s="2" t="s">
        <v>61</v>
      </c>
      <c r="B169" s="3" t="s">
        <v>1051</v>
      </c>
      <c r="C169" s="3" t="s">
        <v>114</v>
      </c>
      <c r="D169" s="4">
        <f>ROUND(1176686.26,2)</f>
        <v>1176686.26</v>
      </c>
      <c r="E169" s="4">
        <f t="shared" si="23"/>
        <v>0</v>
      </c>
      <c r="F169" s="4">
        <f>ROUND(1176686.26,2)</f>
        <v>1176686.26</v>
      </c>
      <c r="G169" s="4">
        <f t="shared" si="25"/>
        <v>0</v>
      </c>
      <c r="H169" s="4">
        <f>ROUND(569084.61,2)</f>
        <v>569084.61</v>
      </c>
      <c r="I169" s="4">
        <f t="shared" si="24"/>
        <v>0</v>
      </c>
      <c r="J169" s="4">
        <f>ROUND(569084.61,2)</f>
        <v>569084.61</v>
      </c>
      <c r="K169" s="4">
        <f t="shared" si="26"/>
        <v>0</v>
      </c>
    </row>
    <row r="170" spans="1:11" ht="51">
      <c r="A170" s="2" t="s">
        <v>751</v>
      </c>
      <c r="B170" s="3" t="s">
        <v>739</v>
      </c>
      <c r="C170" s="3" t="s">
        <v>933</v>
      </c>
      <c r="D170" s="4">
        <f>ROUND(1131141.04,2)</f>
        <v>1131141.04</v>
      </c>
      <c r="E170" s="4">
        <f t="shared" si="23"/>
        <v>0</v>
      </c>
      <c r="F170" s="4">
        <f>ROUND(1131141.04,2)</f>
        <v>1131141.04</v>
      </c>
      <c r="G170" s="4">
        <f t="shared" si="25"/>
        <v>0</v>
      </c>
      <c r="H170" s="4">
        <f>ROUND(539423.95,2)</f>
        <v>539423.95</v>
      </c>
      <c r="I170" s="4">
        <f t="shared" si="24"/>
        <v>0</v>
      </c>
      <c r="J170" s="4">
        <f>ROUND(539423.95,2)</f>
        <v>539423.95</v>
      </c>
      <c r="K170" s="4">
        <f t="shared" si="26"/>
        <v>0</v>
      </c>
    </row>
    <row r="171" spans="1:11" ht="25.5">
      <c r="A171" s="2" t="s">
        <v>41</v>
      </c>
      <c r="B171" s="3" t="s">
        <v>44</v>
      </c>
      <c r="C171" s="3" t="s">
        <v>227</v>
      </c>
      <c r="D171" s="4">
        <f>ROUND(827215.04,2)</f>
        <v>827215.04</v>
      </c>
      <c r="E171" s="4">
        <f t="shared" si="23"/>
        <v>0</v>
      </c>
      <c r="F171" s="4">
        <f>ROUND(827215.04,2)</f>
        <v>827215.04</v>
      </c>
      <c r="G171" s="4">
        <f t="shared" si="25"/>
        <v>0</v>
      </c>
      <c r="H171" s="4">
        <f>ROUND(427799,2)</f>
        <v>427799</v>
      </c>
      <c r="I171" s="4">
        <f t="shared" si="24"/>
        <v>0</v>
      </c>
      <c r="J171" s="4">
        <f>ROUND(427799,2)</f>
        <v>427799</v>
      </c>
      <c r="K171" s="4">
        <f t="shared" si="26"/>
        <v>0</v>
      </c>
    </row>
    <row r="172" spans="1:11" ht="25.5">
      <c r="A172" s="2" t="s">
        <v>468</v>
      </c>
      <c r="B172" s="3" t="s">
        <v>835</v>
      </c>
      <c r="C172" s="3" t="s">
        <v>343</v>
      </c>
      <c r="D172" s="4">
        <f>ROUND(17200,2)</f>
        <v>17200</v>
      </c>
      <c r="E172" s="4">
        <f t="shared" si="23"/>
        <v>0</v>
      </c>
      <c r="F172" s="4">
        <f>ROUND(17200,2)</f>
        <v>17200</v>
      </c>
      <c r="G172" s="4">
        <f t="shared" si="25"/>
        <v>0</v>
      </c>
      <c r="H172" s="4">
        <f>ROUND(7600,2)</f>
        <v>7600</v>
      </c>
      <c r="I172" s="4">
        <f t="shared" si="24"/>
        <v>0</v>
      </c>
      <c r="J172" s="4">
        <f>ROUND(7600,2)</f>
        <v>7600</v>
      </c>
      <c r="K172" s="4">
        <f t="shared" si="26"/>
        <v>0</v>
      </c>
    </row>
    <row r="173" spans="1:11" ht="38.25">
      <c r="A173" s="2" t="s">
        <v>1148</v>
      </c>
      <c r="B173" s="3" t="s">
        <v>174</v>
      </c>
      <c r="C173" s="3" t="s">
        <v>144</v>
      </c>
      <c r="D173" s="4">
        <f>ROUND(286726,2)</f>
        <v>286726</v>
      </c>
      <c r="E173" s="4">
        <f t="shared" si="23"/>
        <v>0</v>
      </c>
      <c r="F173" s="4">
        <f>ROUND(286726,2)</f>
        <v>286726</v>
      </c>
      <c r="G173" s="4">
        <f t="shared" si="25"/>
        <v>0</v>
      </c>
      <c r="H173" s="4">
        <f>ROUND(104024.95,2)</f>
        <v>104024.95</v>
      </c>
      <c r="I173" s="4">
        <f t="shared" si="24"/>
        <v>0</v>
      </c>
      <c r="J173" s="4">
        <f>ROUND(104024.95,2)</f>
        <v>104024.95</v>
      </c>
      <c r="K173" s="4">
        <f t="shared" si="26"/>
        <v>0</v>
      </c>
    </row>
    <row r="174" spans="1:11" ht="25.5">
      <c r="A174" s="2" t="s">
        <v>379</v>
      </c>
      <c r="B174" s="3" t="s">
        <v>455</v>
      </c>
      <c r="C174" s="3" t="s">
        <v>286</v>
      </c>
      <c r="D174" s="4">
        <f>ROUND(37462.58,2)</f>
        <v>37462.58</v>
      </c>
      <c r="E174" s="4">
        <f t="shared" si="23"/>
        <v>0</v>
      </c>
      <c r="F174" s="4">
        <f>ROUND(37462.58,2)</f>
        <v>37462.58</v>
      </c>
      <c r="G174" s="4">
        <f t="shared" si="25"/>
        <v>0</v>
      </c>
      <c r="H174" s="4">
        <f>ROUND(22280.11,2)</f>
        <v>22280.11</v>
      </c>
      <c r="I174" s="4">
        <f t="shared" si="24"/>
        <v>0</v>
      </c>
      <c r="J174" s="4">
        <f>ROUND(22280.11,2)</f>
        <v>22280.11</v>
      </c>
      <c r="K174" s="4">
        <f t="shared" si="26"/>
        <v>0</v>
      </c>
    </row>
    <row r="175" spans="1:11" ht="25.5">
      <c r="A175" s="2" t="s">
        <v>1025</v>
      </c>
      <c r="B175" s="3" t="s">
        <v>973</v>
      </c>
      <c r="C175" s="3" t="s">
        <v>736</v>
      </c>
      <c r="D175" s="4">
        <f>ROUND(34500,2)</f>
        <v>34500</v>
      </c>
      <c r="E175" s="4">
        <f t="shared" si="23"/>
        <v>0</v>
      </c>
      <c r="F175" s="4">
        <f>ROUND(34500,2)</f>
        <v>34500</v>
      </c>
      <c r="G175" s="4">
        <f t="shared" si="25"/>
        <v>0</v>
      </c>
      <c r="H175" s="4">
        <f>ROUND(19317.53,2)</f>
        <v>19317.53</v>
      </c>
      <c r="I175" s="4">
        <f t="shared" si="24"/>
        <v>0</v>
      </c>
      <c r="J175" s="4">
        <f>ROUND(19317.53,2)</f>
        <v>19317.53</v>
      </c>
      <c r="K175" s="4">
        <f t="shared" si="26"/>
        <v>0</v>
      </c>
    </row>
    <row r="176" spans="1:11" ht="25.5">
      <c r="A176" s="2" t="s">
        <v>391</v>
      </c>
      <c r="B176" s="3" t="s">
        <v>501</v>
      </c>
      <c r="C176" s="3" t="s">
        <v>867</v>
      </c>
      <c r="D176" s="4">
        <f>ROUND(2962.58,2)</f>
        <v>2962.58</v>
      </c>
      <c r="E176" s="4">
        <f t="shared" si="23"/>
        <v>0</v>
      </c>
      <c r="F176" s="4">
        <f>ROUND(2962.58,2)</f>
        <v>2962.58</v>
      </c>
      <c r="G176" s="4">
        <f t="shared" si="25"/>
        <v>0</v>
      </c>
      <c r="H176" s="4">
        <f>ROUND(2962.58,2)</f>
        <v>2962.58</v>
      </c>
      <c r="I176" s="4">
        <f t="shared" si="24"/>
        <v>0</v>
      </c>
      <c r="J176" s="4">
        <f>ROUND(2962.58,2)</f>
        <v>2962.58</v>
      </c>
      <c r="K176" s="4">
        <f t="shared" si="26"/>
        <v>0</v>
      </c>
    </row>
    <row r="177" spans="1:11" ht="25.5">
      <c r="A177" s="2" t="s">
        <v>657</v>
      </c>
      <c r="B177" s="3" t="s">
        <v>705</v>
      </c>
      <c r="C177" s="3" t="s">
        <v>1114</v>
      </c>
      <c r="D177" s="4">
        <f>ROUND(8082.64,2)</f>
        <v>8082.64</v>
      </c>
      <c r="E177" s="4">
        <f t="shared" si="23"/>
        <v>0</v>
      </c>
      <c r="F177" s="4">
        <f>ROUND(8082.64,2)</f>
        <v>8082.64</v>
      </c>
      <c r="G177" s="4">
        <f t="shared" si="25"/>
        <v>0</v>
      </c>
      <c r="H177" s="4">
        <f>ROUND(7380.55,2)</f>
        <v>7380.55</v>
      </c>
      <c r="I177" s="4">
        <f t="shared" si="24"/>
        <v>0</v>
      </c>
      <c r="J177" s="4">
        <f>ROUND(7380.55,2)</f>
        <v>7380.55</v>
      </c>
      <c r="K177" s="4">
        <f t="shared" si="26"/>
        <v>0</v>
      </c>
    </row>
    <row r="178" spans="1:11" ht="38.25">
      <c r="A178" s="2" t="s">
        <v>194</v>
      </c>
      <c r="B178" s="3" t="s">
        <v>1108</v>
      </c>
      <c r="C178" s="3" t="s">
        <v>926</v>
      </c>
      <c r="D178" s="4">
        <f>ROUND(105737.42,2)</f>
        <v>105737.42</v>
      </c>
      <c r="E178" s="4">
        <f t="shared" si="23"/>
        <v>0</v>
      </c>
      <c r="F178" s="4">
        <f>ROUND(105737.42,2)</f>
        <v>105737.42</v>
      </c>
      <c r="G178" s="4">
        <f t="shared" si="25"/>
        <v>0</v>
      </c>
      <c r="H178" s="4">
        <f>ROUND(46912.2,2)</f>
        <v>46912.2</v>
      </c>
      <c r="I178" s="4">
        <f t="shared" si="24"/>
        <v>0</v>
      </c>
      <c r="J178" s="4">
        <f>ROUND(46912.2,2)</f>
        <v>46912.2</v>
      </c>
      <c r="K178" s="4">
        <f t="shared" si="26"/>
        <v>0</v>
      </c>
    </row>
    <row r="179" spans="1:11" ht="51">
      <c r="A179" s="2" t="s">
        <v>9</v>
      </c>
      <c r="B179" s="3" t="s">
        <v>1122</v>
      </c>
      <c r="C179" s="3" t="s">
        <v>873</v>
      </c>
      <c r="D179" s="4">
        <f>ROUND(105737.42,2)</f>
        <v>105737.42</v>
      </c>
      <c r="E179" s="4">
        <f t="shared" si="23"/>
        <v>0</v>
      </c>
      <c r="F179" s="4">
        <f>ROUND(105737.42,2)</f>
        <v>105737.42</v>
      </c>
      <c r="G179" s="4">
        <f t="shared" si="25"/>
        <v>0</v>
      </c>
      <c r="H179" s="4">
        <f>ROUND(46912.2,2)</f>
        <v>46912.2</v>
      </c>
      <c r="I179" s="4">
        <f t="shared" si="24"/>
        <v>0</v>
      </c>
      <c r="J179" s="4">
        <f>ROUND(46912.2,2)</f>
        <v>46912.2</v>
      </c>
      <c r="K179" s="4">
        <f t="shared" si="26"/>
        <v>0</v>
      </c>
    </row>
    <row r="180" spans="1:11" ht="51">
      <c r="A180" s="2" t="s">
        <v>529</v>
      </c>
      <c r="B180" s="3" t="s">
        <v>431</v>
      </c>
      <c r="C180" s="3" t="s">
        <v>801</v>
      </c>
      <c r="D180" s="4">
        <f>ROUND(16028886,2)</f>
        <v>16028886</v>
      </c>
      <c r="E180" s="4">
        <f t="shared" si="23"/>
        <v>0</v>
      </c>
      <c r="F180" s="4">
        <f aca="true" t="shared" si="27" ref="F180:F186">ROUND(0,2)</f>
        <v>0</v>
      </c>
      <c r="G180" s="4">
        <f>ROUND(16028886,2)</f>
        <v>16028886</v>
      </c>
      <c r="H180" s="4">
        <f>ROUND(15998932.8,2)</f>
        <v>15998932.8</v>
      </c>
      <c r="I180" s="4">
        <f t="shared" si="24"/>
        <v>0</v>
      </c>
      <c r="J180" s="4">
        <f aca="true" t="shared" si="28" ref="J180:J186">ROUND(0,2)</f>
        <v>0</v>
      </c>
      <c r="K180" s="4">
        <f>ROUND(15998932.8,2)</f>
        <v>15998932.8</v>
      </c>
    </row>
    <row r="181" spans="1:11" ht="25.5">
      <c r="A181" s="2" t="s">
        <v>1092</v>
      </c>
      <c r="B181" s="3" t="s">
        <v>260</v>
      </c>
      <c r="C181" s="3" t="s">
        <v>114</v>
      </c>
      <c r="D181" s="4">
        <f>ROUND(8828886,2)</f>
        <v>8828886</v>
      </c>
      <c r="E181" s="4">
        <f t="shared" si="23"/>
        <v>0</v>
      </c>
      <c r="F181" s="4">
        <f t="shared" si="27"/>
        <v>0</v>
      </c>
      <c r="G181" s="4">
        <f>ROUND(8828886,2)</f>
        <v>8828886</v>
      </c>
      <c r="H181" s="4">
        <f>ROUND(8798932.8,2)</f>
        <v>8798932.8</v>
      </c>
      <c r="I181" s="4">
        <f t="shared" si="24"/>
        <v>0</v>
      </c>
      <c r="J181" s="4">
        <f t="shared" si="28"/>
        <v>0</v>
      </c>
      <c r="K181" s="4">
        <f>ROUND(8798932.8,2)</f>
        <v>8798932.8</v>
      </c>
    </row>
    <row r="182" spans="1:11" ht="25.5">
      <c r="A182" s="2" t="s">
        <v>806</v>
      </c>
      <c r="B182" s="3" t="s">
        <v>856</v>
      </c>
      <c r="C182" s="3" t="s">
        <v>286</v>
      </c>
      <c r="D182" s="4">
        <f>ROUND(8828886,2)</f>
        <v>8828886</v>
      </c>
      <c r="E182" s="4">
        <f t="shared" si="23"/>
        <v>0</v>
      </c>
      <c r="F182" s="4">
        <f t="shared" si="27"/>
        <v>0</v>
      </c>
      <c r="G182" s="4">
        <f>ROUND(8828886,2)</f>
        <v>8828886</v>
      </c>
      <c r="H182" s="4">
        <f>ROUND(8798932.8,2)</f>
        <v>8798932.8</v>
      </c>
      <c r="I182" s="4">
        <f t="shared" si="24"/>
        <v>0</v>
      </c>
      <c r="J182" s="4">
        <f t="shared" si="28"/>
        <v>0</v>
      </c>
      <c r="K182" s="4">
        <f>ROUND(8798932.8,2)</f>
        <v>8798932.8</v>
      </c>
    </row>
    <row r="183" spans="1:11" ht="38.25">
      <c r="A183" s="2" t="s">
        <v>170</v>
      </c>
      <c r="B183" s="3" t="s">
        <v>280</v>
      </c>
      <c r="C183" s="3" t="s">
        <v>815</v>
      </c>
      <c r="D183" s="4">
        <f>ROUND(8657176,2)</f>
        <v>8657176</v>
      </c>
      <c r="E183" s="4">
        <f t="shared" si="23"/>
        <v>0</v>
      </c>
      <c r="F183" s="4">
        <f t="shared" si="27"/>
        <v>0</v>
      </c>
      <c r="G183" s="4">
        <f>ROUND(8657176,2)</f>
        <v>8657176</v>
      </c>
      <c r="H183" s="4">
        <f>ROUND(8627230.8,2)</f>
        <v>8627230.8</v>
      </c>
      <c r="I183" s="4">
        <f t="shared" si="24"/>
        <v>0</v>
      </c>
      <c r="J183" s="4">
        <f t="shared" si="28"/>
        <v>0</v>
      </c>
      <c r="K183" s="4">
        <f>ROUND(8627230.8,2)</f>
        <v>8627230.8</v>
      </c>
    </row>
    <row r="184" spans="1:11" ht="25.5">
      <c r="A184" s="2" t="s">
        <v>860</v>
      </c>
      <c r="B184" s="3" t="s">
        <v>603</v>
      </c>
      <c r="C184" s="3" t="s">
        <v>867</v>
      </c>
      <c r="D184" s="4">
        <f>ROUND(171710,2)</f>
        <v>171710</v>
      </c>
      <c r="E184" s="4">
        <f t="shared" si="23"/>
        <v>0</v>
      </c>
      <c r="F184" s="4">
        <f t="shared" si="27"/>
        <v>0</v>
      </c>
      <c r="G184" s="4">
        <f>ROUND(171710,2)</f>
        <v>171710</v>
      </c>
      <c r="H184" s="4">
        <f>ROUND(171702,2)</f>
        <v>171702</v>
      </c>
      <c r="I184" s="4">
        <f t="shared" si="24"/>
        <v>0</v>
      </c>
      <c r="J184" s="4">
        <f t="shared" si="28"/>
        <v>0</v>
      </c>
      <c r="K184" s="4">
        <f>ROUND(171702,2)</f>
        <v>171702</v>
      </c>
    </row>
    <row r="185" spans="1:11" ht="38.25">
      <c r="A185" s="2" t="s">
        <v>122</v>
      </c>
      <c r="B185" s="3" t="s">
        <v>8</v>
      </c>
      <c r="C185" s="3" t="s">
        <v>926</v>
      </c>
      <c r="D185" s="4">
        <f>ROUND(7200000,2)</f>
        <v>7200000</v>
      </c>
      <c r="E185" s="4">
        <f t="shared" si="23"/>
        <v>0</v>
      </c>
      <c r="F185" s="4">
        <f t="shared" si="27"/>
        <v>0</v>
      </c>
      <c r="G185" s="4">
        <f>ROUND(7200000,2)</f>
        <v>7200000</v>
      </c>
      <c r="H185" s="4">
        <f>ROUND(7200000,2)</f>
        <v>7200000</v>
      </c>
      <c r="I185" s="4">
        <f t="shared" si="24"/>
        <v>0</v>
      </c>
      <c r="J185" s="4">
        <f t="shared" si="28"/>
        <v>0</v>
      </c>
      <c r="K185" s="4">
        <f>ROUND(7200000,2)</f>
        <v>7200000</v>
      </c>
    </row>
    <row r="186" spans="1:11" ht="38.25">
      <c r="A186" s="2" t="s">
        <v>687</v>
      </c>
      <c r="B186" s="3" t="s">
        <v>316</v>
      </c>
      <c r="C186" s="3" t="s">
        <v>1106</v>
      </c>
      <c r="D186" s="4">
        <f>ROUND(7200000,2)</f>
        <v>7200000</v>
      </c>
      <c r="E186" s="4">
        <f t="shared" si="23"/>
        <v>0</v>
      </c>
      <c r="F186" s="4">
        <f t="shared" si="27"/>
        <v>0</v>
      </c>
      <c r="G186" s="4">
        <f>ROUND(7200000,2)</f>
        <v>7200000</v>
      </c>
      <c r="H186" s="4">
        <f>ROUND(7200000,2)</f>
        <v>7200000</v>
      </c>
      <c r="I186" s="4">
        <f t="shared" si="24"/>
        <v>0</v>
      </c>
      <c r="J186" s="4">
        <f t="shared" si="28"/>
        <v>0</v>
      </c>
      <c r="K186" s="4">
        <f>ROUND(7200000,2)</f>
        <v>7200000</v>
      </c>
    </row>
    <row r="187" spans="1:11" ht="51">
      <c r="A187" s="2" t="s">
        <v>714</v>
      </c>
      <c r="B187" s="3" t="s">
        <v>907</v>
      </c>
      <c r="C187" s="3" t="s">
        <v>894</v>
      </c>
      <c r="D187" s="4">
        <f>ROUND(3232762,2)</f>
        <v>3232762</v>
      </c>
      <c r="E187" s="4">
        <f>ROUND(2393853,2)</f>
        <v>2393853</v>
      </c>
      <c r="F187" s="4">
        <f>ROUND(2493853,2)</f>
        <v>2493853</v>
      </c>
      <c r="G187" s="4">
        <f>ROUND(3132762,2)</f>
        <v>3132762</v>
      </c>
      <c r="H187" s="4">
        <f>ROUND(1437557.57,2)</f>
        <v>1437557.57</v>
      </c>
      <c r="I187" s="4">
        <f>ROUND(729851,2)</f>
        <v>729851</v>
      </c>
      <c r="J187" s="4">
        <f>ROUND(729851,2)</f>
        <v>729851</v>
      </c>
      <c r="K187" s="4">
        <f>ROUND(1437557.57,2)</f>
        <v>1437557.57</v>
      </c>
    </row>
    <row r="188" spans="1:11" ht="25.5">
      <c r="A188" s="2" t="s">
        <v>224</v>
      </c>
      <c r="B188" s="3" t="s">
        <v>997</v>
      </c>
      <c r="C188" s="3" t="s">
        <v>114</v>
      </c>
      <c r="D188" s="4">
        <f>ROUND(3232762,2)</f>
        <v>3232762</v>
      </c>
      <c r="E188" s="4">
        <f>ROUND(2393853,2)</f>
        <v>2393853</v>
      </c>
      <c r="F188" s="4">
        <f>ROUND(2493853,2)</f>
        <v>2493853</v>
      </c>
      <c r="G188" s="4">
        <f>ROUND(3132762,2)</f>
        <v>3132762</v>
      </c>
      <c r="H188" s="4">
        <f>ROUND(1437557.57,2)</f>
        <v>1437557.57</v>
      </c>
      <c r="I188" s="4">
        <f>ROUND(729851,2)</f>
        <v>729851</v>
      </c>
      <c r="J188" s="4">
        <f>ROUND(729851,2)</f>
        <v>729851</v>
      </c>
      <c r="K188" s="4">
        <f>ROUND(1437557.57,2)</f>
        <v>1437557.57</v>
      </c>
    </row>
    <row r="189" spans="1:11" ht="25.5">
      <c r="A189" s="2" t="s">
        <v>761</v>
      </c>
      <c r="B189" s="3" t="s">
        <v>401</v>
      </c>
      <c r="C189" s="3" t="s">
        <v>286</v>
      </c>
      <c r="D189" s="4">
        <f>ROUND(3232762,2)</f>
        <v>3232762</v>
      </c>
      <c r="E189" s="4">
        <f>ROUND(0,2)</f>
        <v>0</v>
      </c>
      <c r="F189" s="4">
        <f>ROUND(100000,2)</f>
        <v>100000</v>
      </c>
      <c r="G189" s="4">
        <f>ROUND(3132762,2)</f>
        <v>3132762</v>
      </c>
      <c r="H189" s="4">
        <f>ROUND(1437557.57,2)</f>
        <v>1437557.57</v>
      </c>
      <c r="I189" s="4">
        <f>ROUND(0,2)</f>
        <v>0</v>
      </c>
      <c r="J189" s="4">
        <f>ROUND(0,2)</f>
        <v>0</v>
      </c>
      <c r="K189" s="4">
        <f>ROUND(1437557.57,2)</f>
        <v>1437557.57</v>
      </c>
    </row>
    <row r="190" spans="1:11" ht="25.5">
      <c r="A190" s="2" t="s">
        <v>1172</v>
      </c>
      <c r="B190" s="3" t="s">
        <v>486</v>
      </c>
      <c r="C190" s="3" t="s">
        <v>867</v>
      </c>
      <c r="D190" s="4">
        <f>ROUND(3232762,2)</f>
        <v>3232762</v>
      </c>
      <c r="E190" s="4">
        <f>ROUND(0,2)</f>
        <v>0</v>
      </c>
      <c r="F190" s="4">
        <f>ROUND(100000,2)</f>
        <v>100000</v>
      </c>
      <c r="G190" s="4">
        <f>ROUND(3132762,2)</f>
        <v>3132762</v>
      </c>
      <c r="H190" s="4">
        <f>ROUND(1437557.57,2)</f>
        <v>1437557.57</v>
      </c>
      <c r="I190" s="4">
        <f>ROUND(0,2)</f>
        <v>0</v>
      </c>
      <c r="J190" s="4">
        <f>ROUND(0,2)</f>
        <v>0</v>
      </c>
      <c r="K190" s="4">
        <f>ROUND(1437557.57,2)</f>
        <v>1437557.57</v>
      </c>
    </row>
    <row r="191" spans="1:11" ht="38.25">
      <c r="A191" s="2" t="s">
        <v>633</v>
      </c>
      <c r="B191" s="3" t="s">
        <v>711</v>
      </c>
      <c r="C191" s="3" t="s">
        <v>258</v>
      </c>
      <c r="D191" s="4">
        <f>ROUND(0,2)</f>
        <v>0</v>
      </c>
      <c r="E191" s="4">
        <f>ROUND(2393853,2)</f>
        <v>2393853</v>
      </c>
      <c r="F191" s="4">
        <f>ROUND(2393853,2)</f>
        <v>2393853</v>
      </c>
      <c r="G191" s="4">
        <f>ROUND(0,2)</f>
        <v>0</v>
      </c>
      <c r="H191" s="4">
        <f>ROUND(0,2)</f>
        <v>0</v>
      </c>
      <c r="I191" s="4">
        <f>ROUND(729851,2)</f>
        <v>729851</v>
      </c>
      <c r="J191" s="4">
        <f>ROUND(729851,2)</f>
        <v>729851</v>
      </c>
      <c r="K191" s="4">
        <f>ROUND(0,2)</f>
        <v>0</v>
      </c>
    </row>
    <row r="192" spans="1:11" ht="76.5">
      <c r="A192" s="2" t="s">
        <v>86</v>
      </c>
      <c r="B192" s="3" t="s">
        <v>17</v>
      </c>
      <c r="C192" s="3" t="s">
        <v>1192</v>
      </c>
      <c r="D192" s="4">
        <f>ROUND(0,2)</f>
        <v>0</v>
      </c>
      <c r="E192" s="4">
        <f>ROUND(2393853,2)</f>
        <v>2393853</v>
      </c>
      <c r="F192" s="4">
        <f>ROUND(2393853,2)</f>
        <v>2393853</v>
      </c>
      <c r="G192" s="4">
        <f>ROUND(0,2)</f>
        <v>0</v>
      </c>
      <c r="H192" s="4">
        <f>ROUND(0,2)</f>
        <v>0</v>
      </c>
      <c r="I192" s="4">
        <f>ROUND(729851,2)</f>
        <v>729851</v>
      </c>
      <c r="J192" s="4">
        <f>ROUND(729851,2)</f>
        <v>729851</v>
      </c>
      <c r="K192" s="4">
        <f>ROUND(0,2)</f>
        <v>0</v>
      </c>
    </row>
    <row r="193" spans="1:11" ht="38.25">
      <c r="A193" s="2" t="s">
        <v>445</v>
      </c>
      <c r="B193" s="3" t="s">
        <v>512</v>
      </c>
      <c r="C193" s="3" t="s">
        <v>271</v>
      </c>
      <c r="D193" s="4">
        <f>ROUND(55207161.12,2)</f>
        <v>55207161.12</v>
      </c>
      <c r="E193" s="4">
        <f>ROUND(16903225,2)</f>
        <v>16903225</v>
      </c>
      <c r="F193" s="4">
        <f>ROUND(30722035.12,2)</f>
        <v>30722035.12</v>
      </c>
      <c r="G193" s="4">
        <f>ROUND(41388351,2)</f>
        <v>41388351</v>
      </c>
      <c r="H193" s="4">
        <f>ROUND(29864555.38,2)</f>
        <v>29864555.38</v>
      </c>
      <c r="I193" s="4">
        <f>ROUND(8460134.81,2)</f>
        <v>8460134.81</v>
      </c>
      <c r="J193" s="4">
        <f>ROUND(11432859.37,2)</f>
        <v>11432859.37</v>
      </c>
      <c r="K193" s="4">
        <f>ROUND(26891830.82,2)</f>
        <v>26891830.82</v>
      </c>
    </row>
    <row r="194" spans="1:11" ht="25.5">
      <c r="A194" s="2" t="s">
        <v>1070</v>
      </c>
      <c r="B194" s="3" t="s">
        <v>11</v>
      </c>
      <c r="C194" s="3" t="s">
        <v>114</v>
      </c>
      <c r="D194" s="4">
        <f>ROUND(29386059.19,2)</f>
        <v>29386059.19</v>
      </c>
      <c r="E194" s="4">
        <f>ROUND(16903225,2)</f>
        <v>16903225</v>
      </c>
      <c r="F194" s="4">
        <f>ROUND(17349276.19,2)</f>
        <v>17349276.19</v>
      </c>
      <c r="G194" s="4">
        <f>ROUND(28940008,2)</f>
        <v>28940008</v>
      </c>
      <c r="H194" s="4">
        <f>ROUND(23845961.23,2)</f>
        <v>23845961.23</v>
      </c>
      <c r="I194" s="4">
        <f>ROUND(8460134.81,2)</f>
        <v>8460134.81</v>
      </c>
      <c r="J194" s="4">
        <f>ROUND(8719352.77,2)</f>
        <v>8719352.77</v>
      </c>
      <c r="K194" s="4">
        <f>ROUND(23586743.27,2)</f>
        <v>23586743.27</v>
      </c>
    </row>
    <row r="195" spans="1:11" ht="25.5">
      <c r="A195" s="2" t="s">
        <v>525</v>
      </c>
      <c r="B195" s="3" t="s">
        <v>596</v>
      </c>
      <c r="C195" s="3" t="s">
        <v>286</v>
      </c>
      <c r="D195" s="4">
        <f>ROUND(17031084.19,2)</f>
        <v>17031084.19</v>
      </c>
      <c r="E195" s="4">
        <f aca="true" t="shared" si="29" ref="E195:E202">ROUND(0,2)</f>
        <v>0</v>
      </c>
      <c r="F195" s="4">
        <f>ROUND(446051.19,2)</f>
        <v>446051.19</v>
      </c>
      <c r="G195" s="4">
        <f>ROUND(16585033,2)</f>
        <v>16585033</v>
      </c>
      <c r="H195" s="4">
        <f>ROUND(11490986.23,2)</f>
        <v>11490986.23</v>
      </c>
      <c r="I195" s="4">
        <f aca="true" t="shared" si="30" ref="I195:I202">ROUND(0,2)</f>
        <v>0</v>
      </c>
      <c r="J195" s="4">
        <f>ROUND(259217.96,2)</f>
        <v>259217.96</v>
      </c>
      <c r="K195" s="4">
        <f>ROUND(11231768.27,2)</f>
        <v>11231768.27</v>
      </c>
    </row>
    <row r="196" spans="1:11" ht="25.5">
      <c r="A196" s="2" t="s">
        <v>496</v>
      </c>
      <c r="B196" s="3" t="s">
        <v>816</v>
      </c>
      <c r="C196" s="3" t="s">
        <v>531</v>
      </c>
      <c r="D196" s="4">
        <f>ROUND(86800,2)</f>
        <v>86800</v>
      </c>
      <c r="E196" s="4">
        <f t="shared" si="29"/>
        <v>0</v>
      </c>
      <c r="F196" s="4">
        <f>ROUND(0,2)</f>
        <v>0</v>
      </c>
      <c r="G196" s="4">
        <f>ROUND(86800,2)</f>
        <v>86800</v>
      </c>
      <c r="H196" s="4">
        <f>ROUND(86704.32,2)</f>
        <v>86704.32</v>
      </c>
      <c r="I196" s="4">
        <f t="shared" si="30"/>
        <v>0</v>
      </c>
      <c r="J196" s="4">
        <f>ROUND(0,2)</f>
        <v>0</v>
      </c>
      <c r="K196" s="4">
        <f>ROUND(86704.32,2)</f>
        <v>86704.32</v>
      </c>
    </row>
    <row r="197" spans="1:11" ht="25.5">
      <c r="A197" s="2" t="s">
        <v>22</v>
      </c>
      <c r="B197" s="3" t="s">
        <v>276</v>
      </c>
      <c r="C197" s="3" t="s">
        <v>1008</v>
      </c>
      <c r="D197" s="4">
        <f>ROUND(3782549,2)</f>
        <v>3782549</v>
      </c>
      <c r="E197" s="4">
        <f t="shared" si="29"/>
        <v>0</v>
      </c>
      <c r="F197" s="4">
        <f>ROUND(0,2)</f>
        <v>0</v>
      </c>
      <c r="G197" s="4">
        <f>ROUND(3782549,2)</f>
        <v>3782549</v>
      </c>
      <c r="H197" s="4">
        <f>ROUND(3018692.78,2)</f>
        <v>3018692.78</v>
      </c>
      <c r="I197" s="4">
        <f t="shared" si="30"/>
        <v>0</v>
      </c>
      <c r="J197" s="4">
        <f>ROUND(0,2)</f>
        <v>0</v>
      </c>
      <c r="K197" s="4">
        <f>ROUND(3018692.78,2)</f>
        <v>3018692.78</v>
      </c>
    </row>
    <row r="198" spans="1:11" ht="38.25">
      <c r="A198" s="2" t="s">
        <v>699</v>
      </c>
      <c r="B198" s="3" t="s">
        <v>727</v>
      </c>
      <c r="C198" s="3" t="s">
        <v>638</v>
      </c>
      <c r="D198" s="4">
        <f>ROUND(10300,2)</f>
        <v>10300</v>
      </c>
      <c r="E198" s="4">
        <f t="shared" si="29"/>
        <v>0</v>
      </c>
      <c r="F198" s="4">
        <f>ROUND(0,2)</f>
        <v>0</v>
      </c>
      <c r="G198" s="4">
        <f>ROUND(10300,2)</f>
        <v>10300</v>
      </c>
      <c r="H198" s="4">
        <f>ROUND(0,2)</f>
        <v>0</v>
      </c>
      <c r="I198" s="4">
        <f t="shared" si="30"/>
        <v>0</v>
      </c>
      <c r="J198" s="4">
        <f>ROUND(0,2)</f>
        <v>0</v>
      </c>
      <c r="K198" s="4">
        <f>ROUND(0,2)</f>
        <v>0</v>
      </c>
    </row>
    <row r="199" spans="1:11" ht="38.25">
      <c r="A199" s="2" t="s">
        <v>181</v>
      </c>
      <c r="B199" s="3" t="s">
        <v>66</v>
      </c>
      <c r="C199" s="3" t="s">
        <v>815</v>
      </c>
      <c r="D199" s="4">
        <f>ROUND(9736381,2)</f>
        <v>9736381</v>
      </c>
      <c r="E199" s="4">
        <f t="shared" si="29"/>
        <v>0</v>
      </c>
      <c r="F199" s="4">
        <f>ROUND(0,2)</f>
        <v>0</v>
      </c>
      <c r="G199" s="4">
        <f>ROUND(9736381,2)</f>
        <v>9736381</v>
      </c>
      <c r="H199" s="4">
        <f>ROUND(5344361.36,2)</f>
        <v>5344361.36</v>
      </c>
      <c r="I199" s="4">
        <f t="shared" si="30"/>
        <v>0</v>
      </c>
      <c r="J199" s="4">
        <f>ROUND(0,2)</f>
        <v>0</v>
      </c>
      <c r="K199" s="4">
        <f>ROUND(5344361.36,2)</f>
        <v>5344361.36</v>
      </c>
    </row>
    <row r="200" spans="1:11" ht="25.5">
      <c r="A200" s="2" t="s">
        <v>908</v>
      </c>
      <c r="B200" s="3" t="s">
        <v>864</v>
      </c>
      <c r="C200" s="3" t="s">
        <v>867</v>
      </c>
      <c r="D200" s="4">
        <f>ROUND(3415054.19,2)</f>
        <v>3415054.19</v>
      </c>
      <c r="E200" s="4">
        <f t="shared" si="29"/>
        <v>0</v>
      </c>
      <c r="F200" s="4">
        <f>ROUND(446051.19,2)</f>
        <v>446051.19</v>
      </c>
      <c r="G200" s="4">
        <f>ROUND(2969003,2)</f>
        <v>2969003</v>
      </c>
      <c r="H200" s="4">
        <f>ROUND(3041227.77,2)</f>
        <v>3041227.77</v>
      </c>
      <c r="I200" s="4">
        <f t="shared" si="30"/>
        <v>0</v>
      </c>
      <c r="J200" s="4">
        <f>ROUND(259217.96,2)</f>
        <v>259217.96</v>
      </c>
      <c r="K200" s="4">
        <f>ROUND(2782009.81,2)</f>
        <v>2782009.81</v>
      </c>
    </row>
    <row r="201" spans="1:11" ht="38.25">
      <c r="A201" s="2" t="s">
        <v>787</v>
      </c>
      <c r="B201" s="3" t="s">
        <v>31</v>
      </c>
      <c r="C201" s="3" t="s">
        <v>149</v>
      </c>
      <c r="D201" s="4">
        <f>ROUND(12354975,2)</f>
        <v>12354975</v>
      </c>
      <c r="E201" s="4">
        <f t="shared" si="29"/>
        <v>0</v>
      </c>
      <c r="F201" s="4">
        <f>ROUND(0,2)</f>
        <v>0</v>
      </c>
      <c r="G201" s="4">
        <f>ROUND(12354975,2)</f>
        <v>12354975</v>
      </c>
      <c r="H201" s="4">
        <f>ROUND(12354975,2)</f>
        <v>12354975</v>
      </c>
      <c r="I201" s="4">
        <f t="shared" si="30"/>
        <v>0</v>
      </c>
      <c r="J201" s="4">
        <f>ROUND(0,2)</f>
        <v>0</v>
      </c>
      <c r="K201" s="4">
        <f>ROUND(12354975,2)</f>
        <v>12354975</v>
      </c>
    </row>
    <row r="202" spans="1:11" ht="89.25">
      <c r="A202" s="2" t="s">
        <v>754</v>
      </c>
      <c r="B202" s="3" t="s">
        <v>191</v>
      </c>
      <c r="C202" s="3" t="s">
        <v>364</v>
      </c>
      <c r="D202" s="4">
        <f>ROUND(12354975,2)</f>
        <v>12354975</v>
      </c>
      <c r="E202" s="4">
        <f t="shared" si="29"/>
        <v>0</v>
      </c>
      <c r="F202" s="4">
        <f>ROUND(0,2)</f>
        <v>0</v>
      </c>
      <c r="G202" s="4">
        <f>ROUND(12354975,2)</f>
        <v>12354975</v>
      </c>
      <c r="H202" s="4">
        <f>ROUND(12354975,2)</f>
        <v>12354975</v>
      </c>
      <c r="I202" s="4">
        <f t="shared" si="30"/>
        <v>0</v>
      </c>
      <c r="J202" s="4">
        <f>ROUND(0,2)</f>
        <v>0</v>
      </c>
      <c r="K202" s="4">
        <f>ROUND(12354975,2)</f>
        <v>12354975</v>
      </c>
    </row>
    <row r="203" spans="1:11" ht="38.25">
      <c r="A203" s="2" t="s">
        <v>960</v>
      </c>
      <c r="B203" s="3" t="s">
        <v>345</v>
      </c>
      <c r="C203" s="3" t="s">
        <v>258</v>
      </c>
      <c r="D203" s="4">
        <f>ROUND(0,2)</f>
        <v>0</v>
      </c>
      <c r="E203" s="4">
        <f>ROUND(16903225,2)</f>
        <v>16903225</v>
      </c>
      <c r="F203" s="4">
        <f>ROUND(16903225,2)</f>
        <v>16903225</v>
      </c>
      <c r="G203" s="4">
        <f>ROUND(0,2)</f>
        <v>0</v>
      </c>
      <c r="H203" s="4">
        <f>ROUND(0,2)</f>
        <v>0</v>
      </c>
      <c r="I203" s="4">
        <f>ROUND(8460134.81,2)</f>
        <v>8460134.81</v>
      </c>
      <c r="J203" s="4">
        <f>ROUND(8460134.81,2)</f>
        <v>8460134.81</v>
      </c>
      <c r="K203" s="4">
        <f>ROUND(0,2)</f>
        <v>0</v>
      </c>
    </row>
    <row r="204" spans="1:11" ht="76.5">
      <c r="A204" s="2" t="s">
        <v>397</v>
      </c>
      <c r="B204" s="3" t="s">
        <v>999</v>
      </c>
      <c r="C204" s="3" t="s">
        <v>1192</v>
      </c>
      <c r="D204" s="4">
        <f>ROUND(0,2)</f>
        <v>0</v>
      </c>
      <c r="E204" s="4">
        <f>ROUND(16903225,2)</f>
        <v>16903225</v>
      </c>
      <c r="F204" s="4">
        <f>ROUND(16903225,2)</f>
        <v>16903225</v>
      </c>
      <c r="G204" s="4">
        <f>ROUND(0,2)</f>
        <v>0</v>
      </c>
      <c r="H204" s="4">
        <f>ROUND(0,2)</f>
        <v>0</v>
      </c>
      <c r="I204" s="4">
        <f>ROUND(8460134.81,2)</f>
        <v>8460134.81</v>
      </c>
      <c r="J204" s="4">
        <f>ROUND(8460134.81,2)</f>
        <v>8460134.81</v>
      </c>
      <c r="K204" s="4">
        <f>ROUND(0,2)</f>
        <v>0</v>
      </c>
    </row>
    <row r="205" spans="1:11" ht="38.25">
      <c r="A205" s="2" t="s">
        <v>476</v>
      </c>
      <c r="B205" s="3" t="s">
        <v>254</v>
      </c>
      <c r="C205" s="3" t="s">
        <v>926</v>
      </c>
      <c r="D205" s="4">
        <f>ROUND(25821101.93,2)</f>
        <v>25821101.93</v>
      </c>
      <c r="E205" s="4">
        <f aca="true" t="shared" si="31" ref="E205:E223">ROUND(0,2)</f>
        <v>0</v>
      </c>
      <c r="F205" s="4">
        <f>ROUND(13372758.93,2)</f>
        <v>13372758.93</v>
      </c>
      <c r="G205" s="4">
        <f>ROUND(12448343,2)</f>
        <v>12448343</v>
      </c>
      <c r="H205" s="4">
        <f>ROUND(6018594.15,2)</f>
        <v>6018594.15</v>
      </c>
      <c r="I205" s="4">
        <f aca="true" t="shared" si="32" ref="I205:I223">ROUND(0,2)</f>
        <v>0</v>
      </c>
      <c r="J205" s="4">
        <f>ROUND(2713506.6,2)</f>
        <v>2713506.6</v>
      </c>
      <c r="K205" s="4">
        <f>ROUND(3305087.55,2)</f>
        <v>3305087.55</v>
      </c>
    </row>
    <row r="206" spans="1:11" ht="38.25">
      <c r="A206" s="2" t="s">
        <v>642</v>
      </c>
      <c r="B206" s="3" t="s">
        <v>546</v>
      </c>
      <c r="C206" s="3" t="s">
        <v>1106</v>
      </c>
      <c r="D206" s="4">
        <f>ROUND(23352656.93,2)</f>
        <v>23352656.93</v>
      </c>
      <c r="E206" s="4">
        <f t="shared" si="31"/>
        <v>0</v>
      </c>
      <c r="F206" s="4">
        <f>ROUND(13372758.93,2)</f>
        <v>13372758.93</v>
      </c>
      <c r="G206" s="4">
        <f>ROUND(9979898,2)</f>
        <v>9979898</v>
      </c>
      <c r="H206" s="4">
        <f>ROUND(4068943.51,2)</f>
        <v>4068943.51</v>
      </c>
      <c r="I206" s="4">
        <f t="shared" si="32"/>
        <v>0</v>
      </c>
      <c r="J206" s="4">
        <f>ROUND(2713506.6,2)</f>
        <v>2713506.6</v>
      </c>
      <c r="K206" s="4">
        <f>ROUND(1355436.91,2)</f>
        <v>1355436.91</v>
      </c>
    </row>
    <row r="207" spans="1:11" ht="51">
      <c r="A207" s="2" t="s">
        <v>289</v>
      </c>
      <c r="B207" s="3" t="s">
        <v>228</v>
      </c>
      <c r="C207" s="3" t="s">
        <v>873</v>
      </c>
      <c r="D207" s="4">
        <f>ROUND(2468445,2)</f>
        <v>2468445</v>
      </c>
      <c r="E207" s="4">
        <f t="shared" si="31"/>
        <v>0</v>
      </c>
      <c r="F207" s="4">
        <f aca="true" t="shared" si="33" ref="F207:F214">ROUND(0,2)</f>
        <v>0</v>
      </c>
      <c r="G207" s="4">
        <f>ROUND(2468445,2)</f>
        <v>2468445</v>
      </c>
      <c r="H207" s="4">
        <f>ROUND(1949650.64,2)</f>
        <v>1949650.64</v>
      </c>
      <c r="I207" s="4">
        <f t="shared" si="32"/>
        <v>0</v>
      </c>
      <c r="J207" s="4">
        <f aca="true" t="shared" si="34" ref="J207:J223">ROUND(0,2)</f>
        <v>0</v>
      </c>
      <c r="K207" s="4">
        <f>ROUND(1949650.64,2)</f>
        <v>1949650.64</v>
      </c>
    </row>
    <row r="208" spans="1:11" ht="25.5">
      <c r="A208" s="2" t="s">
        <v>851</v>
      </c>
      <c r="B208" s="3" t="s">
        <v>189</v>
      </c>
      <c r="C208" s="3" t="s">
        <v>477</v>
      </c>
      <c r="D208" s="4">
        <f>ROUND(12451475,2)</f>
        <v>12451475</v>
      </c>
      <c r="E208" s="4">
        <f t="shared" si="31"/>
        <v>0</v>
      </c>
      <c r="F208" s="4">
        <f t="shared" si="33"/>
        <v>0</v>
      </c>
      <c r="G208" s="4">
        <f>ROUND(12451475,2)</f>
        <v>12451475</v>
      </c>
      <c r="H208" s="4">
        <f>ROUND(12451475,2)</f>
        <v>12451475</v>
      </c>
      <c r="I208" s="4">
        <f t="shared" si="32"/>
        <v>0</v>
      </c>
      <c r="J208" s="4">
        <f t="shared" si="34"/>
        <v>0</v>
      </c>
      <c r="K208" s="4">
        <f>ROUND(12451475,2)</f>
        <v>12451475</v>
      </c>
    </row>
    <row r="209" spans="1:11" ht="25.5">
      <c r="A209" s="2" t="s">
        <v>169</v>
      </c>
      <c r="B209" s="3" t="s">
        <v>333</v>
      </c>
      <c r="C209" s="3" t="s">
        <v>114</v>
      </c>
      <c r="D209" s="4">
        <f>ROUND(12451475,2)</f>
        <v>12451475</v>
      </c>
      <c r="E209" s="4">
        <f t="shared" si="31"/>
        <v>0</v>
      </c>
      <c r="F209" s="4">
        <f t="shared" si="33"/>
        <v>0</v>
      </c>
      <c r="G209" s="4">
        <f>ROUND(12451475,2)</f>
        <v>12451475</v>
      </c>
      <c r="H209" s="4">
        <f>ROUND(12451475,2)</f>
        <v>12451475</v>
      </c>
      <c r="I209" s="4">
        <f t="shared" si="32"/>
        <v>0</v>
      </c>
      <c r="J209" s="4">
        <f t="shared" si="34"/>
        <v>0</v>
      </c>
      <c r="K209" s="4">
        <f>ROUND(12451475,2)</f>
        <v>12451475</v>
      </c>
    </row>
    <row r="210" spans="1:11" ht="25.5">
      <c r="A210" s="2" t="s">
        <v>522</v>
      </c>
      <c r="B210" s="3" t="s">
        <v>949</v>
      </c>
      <c r="C210" s="3" t="s">
        <v>286</v>
      </c>
      <c r="D210" s="4">
        <f>ROUND(96500,2)</f>
        <v>96500</v>
      </c>
      <c r="E210" s="4">
        <f t="shared" si="31"/>
        <v>0</v>
      </c>
      <c r="F210" s="4">
        <f t="shared" si="33"/>
        <v>0</v>
      </c>
      <c r="G210" s="4">
        <f>ROUND(96500,2)</f>
        <v>96500</v>
      </c>
      <c r="H210" s="4">
        <f>ROUND(96500,2)</f>
        <v>96500</v>
      </c>
      <c r="I210" s="4">
        <f t="shared" si="32"/>
        <v>0</v>
      </c>
      <c r="J210" s="4">
        <f t="shared" si="34"/>
        <v>0</v>
      </c>
      <c r="K210" s="4">
        <f>ROUND(96500,2)</f>
        <v>96500</v>
      </c>
    </row>
    <row r="211" spans="1:11" ht="38.25">
      <c r="A211" s="2" t="s">
        <v>1074</v>
      </c>
      <c r="B211" s="3" t="s">
        <v>353</v>
      </c>
      <c r="C211" s="3" t="s">
        <v>815</v>
      </c>
      <c r="D211" s="4">
        <f>ROUND(58100,2)</f>
        <v>58100</v>
      </c>
      <c r="E211" s="4">
        <f t="shared" si="31"/>
        <v>0</v>
      </c>
      <c r="F211" s="4">
        <f t="shared" si="33"/>
        <v>0</v>
      </c>
      <c r="G211" s="4">
        <f>ROUND(58100,2)</f>
        <v>58100</v>
      </c>
      <c r="H211" s="4">
        <f>ROUND(58100,2)</f>
        <v>58100</v>
      </c>
      <c r="I211" s="4">
        <f t="shared" si="32"/>
        <v>0</v>
      </c>
      <c r="J211" s="4">
        <f t="shared" si="34"/>
        <v>0</v>
      </c>
      <c r="K211" s="4">
        <f>ROUND(58100,2)</f>
        <v>58100</v>
      </c>
    </row>
    <row r="212" spans="1:11" ht="25.5">
      <c r="A212" s="2" t="s">
        <v>543</v>
      </c>
      <c r="B212" s="3" t="s">
        <v>1139</v>
      </c>
      <c r="C212" s="3" t="s">
        <v>867</v>
      </c>
      <c r="D212" s="4">
        <f>ROUND(38400,2)</f>
        <v>38400</v>
      </c>
      <c r="E212" s="4">
        <f t="shared" si="31"/>
        <v>0</v>
      </c>
      <c r="F212" s="4">
        <f t="shared" si="33"/>
        <v>0</v>
      </c>
      <c r="G212" s="4">
        <f>ROUND(38400,2)</f>
        <v>38400</v>
      </c>
      <c r="H212" s="4">
        <f>ROUND(38400,2)</f>
        <v>38400</v>
      </c>
      <c r="I212" s="4">
        <f t="shared" si="32"/>
        <v>0</v>
      </c>
      <c r="J212" s="4">
        <f t="shared" si="34"/>
        <v>0</v>
      </c>
      <c r="K212" s="4">
        <f>ROUND(38400,2)</f>
        <v>38400</v>
      </c>
    </row>
    <row r="213" spans="1:11" ht="38.25">
      <c r="A213" s="2" t="s">
        <v>205</v>
      </c>
      <c r="B213" s="3" t="s">
        <v>315</v>
      </c>
      <c r="C213" s="3" t="s">
        <v>149</v>
      </c>
      <c r="D213" s="4">
        <f>ROUND(12354975,2)</f>
        <v>12354975</v>
      </c>
      <c r="E213" s="4">
        <f t="shared" si="31"/>
        <v>0</v>
      </c>
      <c r="F213" s="4">
        <f t="shared" si="33"/>
        <v>0</v>
      </c>
      <c r="G213" s="4">
        <f>ROUND(12354975,2)</f>
        <v>12354975</v>
      </c>
      <c r="H213" s="4">
        <f>ROUND(12354975,2)</f>
        <v>12354975</v>
      </c>
      <c r="I213" s="4">
        <f t="shared" si="32"/>
        <v>0</v>
      </c>
      <c r="J213" s="4">
        <f t="shared" si="34"/>
        <v>0</v>
      </c>
      <c r="K213" s="4">
        <f>ROUND(12354975,2)</f>
        <v>12354975</v>
      </c>
    </row>
    <row r="214" spans="1:11" ht="89.25">
      <c r="A214" s="2" t="s">
        <v>121</v>
      </c>
      <c r="B214" s="3" t="s">
        <v>511</v>
      </c>
      <c r="C214" s="3" t="s">
        <v>364</v>
      </c>
      <c r="D214" s="4">
        <f>ROUND(12354975,2)</f>
        <v>12354975</v>
      </c>
      <c r="E214" s="4">
        <f t="shared" si="31"/>
        <v>0</v>
      </c>
      <c r="F214" s="4">
        <f t="shared" si="33"/>
        <v>0</v>
      </c>
      <c r="G214" s="4">
        <f>ROUND(12354975,2)</f>
        <v>12354975</v>
      </c>
      <c r="H214" s="4">
        <f>ROUND(12354975,2)</f>
        <v>12354975</v>
      </c>
      <c r="I214" s="4">
        <f t="shared" si="32"/>
        <v>0</v>
      </c>
      <c r="J214" s="4">
        <f t="shared" si="34"/>
        <v>0</v>
      </c>
      <c r="K214" s="4">
        <f>ROUND(12354975,2)</f>
        <v>12354975</v>
      </c>
    </row>
    <row r="215" spans="1:11" ht="25.5">
      <c r="A215" s="2" t="s">
        <v>89</v>
      </c>
      <c r="B215" s="3" t="s">
        <v>1067</v>
      </c>
      <c r="C215" s="3" t="s">
        <v>436</v>
      </c>
      <c r="D215" s="4">
        <f>ROUND(2431500,2)</f>
        <v>2431500</v>
      </c>
      <c r="E215" s="4">
        <f t="shared" si="31"/>
        <v>0</v>
      </c>
      <c r="F215" s="4">
        <f>ROUND(1167900,2)</f>
        <v>1167900</v>
      </c>
      <c r="G215" s="4">
        <f>ROUND(1263600,2)</f>
        <v>1263600</v>
      </c>
      <c r="H215" s="4">
        <f>ROUND(1224742.92,2)</f>
        <v>1224742.92</v>
      </c>
      <c r="I215" s="4">
        <f t="shared" si="32"/>
        <v>0</v>
      </c>
      <c r="J215" s="4">
        <f t="shared" si="34"/>
        <v>0</v>
      </c>
      <c r="K215" s="4">
        <f>ROUND(1224742.92,2)</f>
        <v>1224742.92</v>
      </c>
    </row>
    <row r="216" spans="1:11" ht="25.5">
      <c r="A216" s="2" t="s">
        <v>829</v>
      </c>
      <c r="B216" s="3" t="s">
        <v>680</v>
      </c>
      <c r="C216" s="3" t="s">
        <v>114</v>
      </c>
      <c r="D216" s="4">
        <f>ROUND(697300,2)</f>
        <v>697300</v>
      </c>
      <c r="E216" s="4">
        <f t="shared" si="31"/>
        <v>0</v>
      </c>
      <c r="F216" s="4">
        <f>ROUND(0,2)</f>
        <v>0</v>
      </c>
      <c r="G216" s="4">
        <f>ROUND(697300,2)</f>
        <v>697300</v>
      </c>
      <c r="H216" s="4">
        <f>ROUND(659520.07,2)</f>
        <v>659520.07</v>
      </c>
      <c r="I216" s="4">
        <f t="shared" si="32"/>
        <v>0</v>
      </c>
      <c r="J216" s="4">
        <f t="shared" si="34"/>
        <v>0</v>
      </c>
      <c r="K216" s="4">
        <f>ROUND(659520.07,2)</f>
        <v>659520.07</v>
      </c>
    </row>
    <row r="217" spans="1:11" ht="25.5">
      <c r="A217" s="2" t="s">
        <v>154</v>
      </c>
      <c r="B217" s="3" t="s">
        <v>52</v>
      </c>
      <c r="C217" s="3" t="s">
        <v>286</v>
      </c>
      <c r="D217" s="4">
        <f>ROUND(697300,2)</f>
        <v>697300</v>
      </c>
      <c r="E217" s="4">
        <f t="shared" si="31"/>
        <v>0</v>
      </c>
      <c r="F217" s="4">
        <f>ROUND(0,2)</f>
        <v>0</v>
      </c>
      <c r="G217" s="4">
        <f>ROUND(697300,2)</f>
        <v>697300</v>
      </c>
      <c r="H217" s="4">
        <f>ROUND(659520.07,2)</f>
        <v>659520.07</v>
      </c>
      <c r="I217" s="4">
        <f t="shared" si="32"/>
        <v>0</v>
      </c>
      <c r="J217" s="4">
        <f t="shared" si="34"/>
        <v>0</v>
      </c>
      <c r="K217" s="4">
        <f>ROUND(659520.07,2)</f>
        <v>659520.07</v>
      </c>
    </row>
    <row r="218" spans="1:11" ht="38.25">
      <c r="A218" s="2" t="s">
        <v>1041</v>
      </c>
      <c r="B218" s="3" t="s">
        <v>94</v>
      </c>
      <c r="C218" s="3" t="s">
        <v>638</v>
      </c>
      <c r="D218" s="4">
        <f>ROUND(10000,2)</f>
        <v>10000</v>
      </c>
      <c r="E218" s="4">
        <f t="shared" si="31"/>
        <v>0</v>
      </c>
      <c r="F218" s="4">
        <f>ROUND(0,2)</f>
        <v>0</v>
      </c>
      <c r="G218" s="4">
        <f>ROUND(10000,2)</f>
        <v>10000</v>
      </c>
      <c r="H218" s="4">
        <f>ROUND(0,2)</f>
        <v>0</v>
      </c>
      <c r="I218" s="4">
        <f t="shared" si="32"/>
        <v>0</v>
      </c>
      <c r="J218" s="4">
        <f t="shared" si="34"/>
        <v>0</v>
      </c>
      <c r="K218" s="4">
        <f>ROUND(0,2)</f>
        <v>0</v>
      </c>
    </row>
    <row r="219" spans="1:11" ht="38.25">
      <c r="A219" s="2" t="s">
        <v>464</v>
      </c>
      <c r="B219" s="3" t="s">
        <v>618</v>
      </c>
      <c r="C219" s="3" t="s">
        <v>815</v>
      </c>
      <c r="D219" s="4">
        <f>ROUND(607900,2)</f>
        <v>607900</v>
      </c>
      <c r="E219" s="4">
        <f t="shared" si="31"/>
        <v>0</v>
      </c>
      <c r="F219" s="4">
        <f>ROUND(0,2)</f>
        <v>0</v>
      </c>
      <c r="G219" s="4">
        <f>ROUND(607900,2)</f>
        <v>607900</v>
      </c>
      <c r="H219" s="4">
        <f>ROUND(607138.96,2)</f>
        <v>607138.96</v>
      </c>
      <c r="I219" s="4">
        <f t="shared" si="32"/>
        <v>0</v>
      </c>
      <c r="J219" s="4">
        <f t="shared" si="34"/>
        <v>0</v>
      </c>
      <c r="K219" s="4">
        <f>ROUND(607138.96,2)</f>
        <v>607138.96</v>
      </c>
    </row>
    <row r="220" spans="1:11" ht="25.5">
      <c r="A220" s="2" t="s">
        <v>1165</v>
      </c>
      <c r="B220" s="3" t="s">
        <v>274</v>
      </c>
      <c r="C220" s="3" t="s">
        <v>867</v>
      </c>
      <c r="D220" s="4">
        <f>ROUND(79400,2)</f>
        <v>79400</v>
      </c>
      <c r="E220" s="4">
        <f t="shared" si="31"/>
        <v>0</v>
      </c>
      <c r="F220" s="4">
        <f>ROUND(0,2)</f>
        <v>0</v>
      </c>
      <c r="G220" s="4">
        <f>ROUND(79400,2)</f>
        <v>79400</v>
      </c>
      <c r="H220" s="4">
        <f>ROUND(52381.11,2)</f>
        <v>52381.11</v>
      </c>
      <c r="I220" s="4">
        <f t="shared" si="32"/>
        <v>0</v>
      </c>
      <c r="J220" s="4">
        <f t="shared" si="34"/>
        <v>0</v>
      </c>
      <c r="K220" s="4">
        <f>ROUND(52381.11,2)</f>
        <v>52381.11</v>
      </c>
    </row>
    <row r="221" spans="1:11" ht="38.25">
      <c r="A221" s="2" t="s">
        <v>794</v>
      </c>
      <c r="B221" s="3" t="s">
        <v>884</v>
      </c>
      <c r="C221" s="3" t="s">
        <v>926</v>
      </c>
      <c r="D221" s="4">
        <f>ROUND(1734200,2)</f>
        <v>1734200</v>
      </c>
      <c r="E221" s="4">
        <f t="shared" si="31"/>
        <v>0</v>
      </c>
      <c r="F221" s="4">
        <f>ROUND(1167900,2)</f>
        <v>1167900</v>
      </c>
      <c r="G221" s="4">
        <f>ROUND(566300,2)</f>
        <v>566300</v>
      </c>
      <c r="H221" s="4">
        <f>ROUND(565222.85,2)</f>
        <v>565222.85</v>
      </c>
      <c r="I221" s="4">
        <f t="shared" si="32"/>
        <v>0</v>
      </c>
      <c r="J221" s="4">
        <f t="shared" si="34"/>
        <v>0</v>
      </c>
      <c r="K221" s="4">
        <f>ROUND(565222.85,2)</f>
        <v>565222.85</v>
      </c>
    </row>
    <row r="222" spans="1:11" ht="38.25">
      <c r="A222" s="2" t="s">
        <v>891</v>
      </c>
      <c r="B222" s="3" t="s">
        <v>1169</v>
      </c>
      <c r="C222" s="3" t="s">
        <v>1106</v>
      </c>
      <c r="D222" s="4">
        <f>ROUND(1176200,2)</f>
        <v>1176200</v>
      </c>
      <c r="E222" s="4">
        <f t="shared" si="31"/>
        <v>0</v>
      </c>
      <c r="F222" s="4">
        <f>ROUND(1167900,2)</f>
        <v>1167900</v>
      </c>
      <c r="G222" s="4">
        <f>ROUND(8300,2)</f>
        <v>8300</v>
      </c>
      <c r="H222" s="4">
        <f>ROUND(8250,2)</f>
        <v>8250</v>
      </c>
      <c r="I222" s="4">
        <f t="shared" si="32"/>
        <v>0</v>
      </c>
      <c r="J222" s="4">
        <f t="shared" si="34"/>
        <v>0</v>
      </c>
      <c r="K222" s="4">
        <f>ROUND(8250,2)</f>
        <v>8250</v>
      </c>
    </row>
    <row r="223" spans="1:11" ht="51">
      <c r="A223" s="2" t="s">
        <v>5</v>
      </c>
      <c r="B223" s="3" t="s">
        <v>904</v>
      </c>
      <c r="C223" s="3" t="s">
        <v>873</v>
      </c>
      <c r="D223" s="4">
        <f>ROUND(558000,2)</f>
        <v>558000</v>
      </c>
      <c r="E223" s="4">
        <f t="shared" si="31"/>
        <v>0</v>
      </c>
      <c r="F223" s="4">
        <f>ROUND(0,2)</f>
        <v>0</v>
      </c>
      <c r="G223" s="4">
        <f>ROUND(558000,2)</f>
        <v>558000</v>
      </c>
      <c r="H223" s="4">
        <f>ROUND(556972.85,2)</f>
        <v>556972.85</v>
      </c>
      <c r="I223" s="4">
        <f t="shared" si="32"/>
        <v>0</v>
      </c>
      <c r="J223" s="4">
        <f t="shared" si="34"/>
        <v>0</v>
      </c>
      <c r="K223" s="4">
        <f>ROUND(556972.85,2)</f>
        <v>556972.85</v>
      </c>
    </row>
    <row r="224" spans="1:11" ht="25.5">
      <c r="A224" s="2" t="s">
        <v>686</v>
      </c>
      <c r="B224" s="3" t="s">
        <v>780</v>
      </c>
      <c r="C224" s="3" t="s">
        <v>925</v>
      </c>
      <c r="D224" s="4">
        <f>ROUND(23469615,2)</f>
        <v>23469615</v>
      </c>
      <c r="E224" s="4">
        <f>ROUND(8489425,2)</f>
        <v>8489425</v>
      </c>
      <c r="F224" s="4">
        <f>ROUND(15608725,2)</f>
        <v>15608725</v>
      </c>
      <c r="G224" s="4">
        <f>ROUND(16350315,2)</f>
        <v>16350315</v>
      </c>
      <c r="H224" s="4">
        <f>ROUND(10660291.39,2)</f>
        <v>10660291.39</v>
      </c>
      <c r="I224" s="4">
        <f>ROUND(8460134.81,2)</f>
        <v>8460134.81</v>
      </c>
      <c r="J224" s="4">
        <f>ROUND(8460134.81,2)</f>
        <v>8460134.81</v>
      </c>
      <c r="K224" s="4">
        <f>ROUND(10660291.39,2)</f>
        <v>10660291.39</v>
      </c>
    </row>
    <row r="225" spans="1:11" ht="25.5">
      <c r="A225" s="2" t="s">
        <v>120</v>
      </c>
      <c r="B225" s="3" t="s">
        <v>963</v>
      </c>
      <c r="C225" s="3" t="s">
        <v>114</v>
      </c>
      <c r="D225" s="4">
        <f>ROUND(14190972,2)</f>
        <v>14190972</v>
      </c>
      <c r="E225" s="4">
        <f>ROUND(8489425,2)</f>
        <v>8489425</v>
      </c>
      <c r="F225" s="4">
        <f>ROUND(8489425,2)</f>
        <v>8489425</v>
      </c>
      <c r="G225" s="4">
        <f>ROUND(14190972,2)</f>
        <v>14190972</v>
      </c>
      <c r="H225" s="4">
        <f>ROUND(9018716.52,2)</f>
        <v>9018716.52</v>
      </c>
      <c r="I225" s="4">
        <f>ROUND(8460134.81,2)</f>
        <v>8460134.81</v>
      </c>
      <c r="J225" s="4">
        <f>ROUND(8460134.81,2)</f>
        <v>8460134.81</v>
      </c>
      <c r="K225" s="4">
        <f>ROUND(9018716.52,2)</f>
        <v>9018716.52</v>
      </c>
    </row>
    <row r="226" spans="1:11" ht="25.5">
      <c r="A226" s="2" t="s">
        <v>1020</v>
      </c>
      <c r="B226" s="3" t="s">
        <v>357</v>
      </c>
      <c r="C226" s="3" t="s">
        <v>286</v>
      </c>
      <c r="D226" s="4">
        <f>ROUND(14190972,2)</f>
        <v>14190972</v>
      </c>
      <c r="E226" s="4">
        <f aca="true" t="shared" si="35" ref="E226:F231">ROUND(0,2)</f>
        <v>0</v>
      </c>
      <c r="F226" s="4">
        <f t="shared" si="35"/>
        <v>0</v>
      </c>
      <c r="G226" s="4">
        <f>ROUND(14190972,2)</f>
        <v>14190972</v>
      </c>
      <c r="H226" s="4">
        <f>ROUND(9018716.52,2)</f>
        <v>9018716.52</v>
      </c>
      <c r="I226" s="4">
        <f aca="true" t="shared" si="36" ref="I226:J231">ROUND(0,2)</f>
        <v>0</v>
      </c>
      <c r="J226" s="4">
        <f t="shared" si="36"/>
        <v>0</v>
      </c>
      <c r="K226" s="4">
        <f>ROUND(9018716.52,2)</f>
        <v>9018716.52</v>
      </c>
    </row>
    <row r="227" spans="1:11" ht="25.5">
      <c r="A227" s="2" t="s">
        <v>1073</v>
      </c>
      <c r="B227" s="3" t="s">
        <v>483</v>
      </c>
      <c r="C227" s="3" t="s">
        <v>531</v>
      </c>
      <c r="D227" s="4">
        <f>ROUND(86800,2)</f>
        <v>86800</v>
      </c>
      <c r="E227" s="4">
        <f t="shared" si="35"/>
        <v>0</v>
      </c>
      <c r="F227" s="4">
        <f t="shared" si="35"/>
        <v>0</v>
      </c>
      <c r="G227" s="4">
        <f>ROUND(86800,2)</f>
        <v>86800</v>
      </c>
      <c r="H227" s="4">
        <f>ROUND(86704.32,2)</f>
        <v>86704.32</v>
      </c>
      <c r="I227" s="4">
        <f t="shared" si="36"/>
        <v>0</v>
      </c>
      <c r="J227" s="4">
        <f t="shared" si="36"/>
        <v>0</v>
      </c>
      <c r="K227" s="4">
        <f>ROUND(86704.32,2)</f>
        <v>86704.32</v>
      </c>
    </row>
    <row r="228" spans="1:11" ht="25.5">
      <c r="A228" s="2" t="s">
        <v>551</v>
      </c>
      <c r="B228" s="3" t="s">
        <v>1128</v>
      </c>
      <c r="C228" s="3" t="s">
        <v>1008</v>
      </c>
      <c r="D228" s="4">
        <f>ROUND(3782549,2)</f>
        <v>3782549</v>
      </c>
      <c r="E228" s="4">
        <f t="shared" si="35"/>
        <v>0</v>
      </c>
      <c r="F228" s="4">
        <f t="shared" si="35"/>
        <v>0</v>
      </c>
      <c r="G228" s="4">
        <f>ROUND(3782549,2)</f>
        <v>3782549</v>
      </c>
      <c r="H228" s="4">
        <f>ROUND(3018692.78,2)</f>
        <v>3018692.78</v>
      </c>
      <c r="I228" s="4">
        <f t="shared" si="36"/>
        <v>0</v>
      </c>
      <c r="J228" s="4">
        <f t="shared" si="36"/>
        <v>0</v>
      </c>
      <c r="K228" s="4">
        <f>ROUND(3018692.78,2)</f>
        <v>3018692.78</v>
      </c>
    </row>
    <row r="229" spans="1:11" ht="38.25">
      <c r="A229" s="2" t="s">
        <v>992</v>
      </c>
      <c r="B229" s="3" t="s">
        <v>410</v>
      </c>
      <c r="C229" s="3" t="s">
        <v>638</v>
      </c>
      <c r="D229" s="4">
        <f>ROUND(300,2)</f>
        <v>300</v>
      </c>
      <c r="E229" s="4">
        <f t="shared" si="35"/>
        <v>0</v>
      </c>
      <c r="F229" s="4">
        <f t="shared" si="35"/>
        <v>0</v>
      </c>
      <c r="G229" s="4">
        <f>ROUND(300,2)</f>
        <v>300</v>
      </c>
      <c r="H229" s="4">
        <f>ROUND(0,2)</f>
        <v>0</v>
      </c>
      <c r="I229" s="4">
        <f t="shared" si="36"/>
        <v>0</v>
      </c>
      <c r="J229" s="4">
        <f t="shared" si="36"/>
        <v>0</v>
      </c>
      <c r="K229" s="4">
        <f>ROUND(0,2)</f>
        <v>0</v>
      </c>
    </row>
    <row r="230" spans="1:11" ht="38.25">
      <c r="A230" s="2" t="s">
        <v>433</v>
      </c>
      <c r="B230" s="3" t="s">
        <v>946</v>
      </c>
      <c r="C230" s="3" t="s">
        <v>815</v>
      </c>
      <c r="D230" s="4">
        <f>ROUND(9070381,2)</f>
        <v>9070381</v>
      </c>
      <c r="E230" s="4">
        <f t="shared" si="35"/>
        <v>0</v>
      </c>
      <c r="F230" s="4">
        <f t="shared" si="35"/>
        <v>0</v>
      </c>
      <c r="G230" s="4">
        <f>ROUND(9070381,2)</f>
        <v>9070381</v>
      </c>
      <c r="H230" s="4">
        <f>ROUND(4679122.4,2)</f>
        <v>4679122.4</v>
      </c>
      <c r="I230" s="4">
        <f t="shared" si="36"/>
        <v>0</v>
      </c>
      <c r="J230" s="4">
        <f t="shared" si="36"/>
        <v>0</v>
      </c>
      <c r="K230" s="4">
        <f>ROUND(4679122.4,2)</f>
        <v>4679122.4</v>
      </c>
    </row>
    <row r="231" spans="1:11" ht="25.5">
      <c r="A231" s="2" t="s">
        <v>977</v>
      </c>
      <c r="B231" s="3" t="s">
        <v>590</v>
      </c>
      <c r="C231" s="3" t="s">
        <v>867</v>
      </c>
      <c r="D231" s="4">
        <f>ROUND(1250942,2)</f>
        <v>1250942</v>
      </c>
      <c r="E231" s="4">
        <f t="shared" si="35"/>
        <v>0</v>
      </c>
      <c r="F231" s="4">
        <f t="shared" si="35"/>
        <v>0</v>
      </c>
      <c r="G231" s="4">
        <f>ROUND(1250942,2)</f>
        <v>1250942</v>
      </c>
      <c r="H231" s="4">
        <f>ROUND(1234197.02,2)</f>
        <v>1234197.02</v>
      </c>
      <c r="I231" s="4">
        <f t="shared" si="36"/>
        <v>0</v>
      </c>
      <c r="J231" s="4">
        <f t="shared" si="36"/>
        <v>0</v>
      </c>
      <c r="K231" s="4">
        <f>ROUND(1234197.02,2)</f>
        <v>1234197.02</v>
      </c>
    </row>
    <row r="232" spans="1:11" ht="38.25">
      <c r="A232" s="2" t="s">
        <v>875</v>
      </c>
      <c r="B232" s="3" t="s">
        <v>672</v>
      </c>
      <c r="C232" s="3" t="s">
        <v>258</v>
      </c>
      <c r="D232" s="4">
        <f>ROUND(0,2)</f>
        <v>0</v>
      </c>
      <c r="E232" s="4">
        <f>ROUND(8489425,2)</f>
        <v>8489425</v>
      </c>
      <c r="F232" s="4">
        <f>ROUND(8489425,2)</f>
        <v>8489425</v>
      </c>
      <c r="G232" s="4">
        <f>ROUND(0,2)</f>
        <v>0</v>
      </c>
      <c r="H232" s="4">
        <f>ROUND(0,2)</f>
        <v>0</v>
      </c>
      <c r="I232" s="4">
        <f>ROUND(8460134.81,2)</f>
        <v>8460134.81</v>
      </c>
      <c r="J232" s="4">
        <f>ROUND(8460134.81,2)</f>
        <v>8460134.81</v>
      </c>
      <c r="K232" s="4">
        <f>ROUND(0,2)</f>
        <v>0</v>
      </c>
    </row>
    <row r="233" spans="1:11" ht="76.5">
      <c r="A233" s="2" t="s">
        <v>55</v>
      </c>
      <c r="B233" s="3" t="s">
        <v>132</v>
      </c>
      <c r="C233" s="3" t="s">
        <v>1192</v>
      </c>
      <c r="D233" s="4">
        <f>ROUND(0,2)</f>
        <v>0</v>
      </c>
      <c r="E233" s="4">
        <f>ROUND(8489425,2)</f>
        <v>8489425</v>
      </c>
      <c r="F233" s="4">
        <f>ROUND(8489425,2)</f>
        <v>8489425</v>
      </c>
      <c r="G233" s="4">
        <f>ROUND(0,2)</f>
        <v>0</v>
      </c>
      <c r="H233" s="4">
        <f>ROUND(0,2)</f>
        <v>0</v>
      </c>
      <c r="I233" s="4">
        <f>ROUND(8460134.81,2)</f>
        <v>8460134.81</v>
      </c>
      <c r="J233" s="4">
        <f>ROUND(8460134.81,2)</f>
        <v>8460134.81</v>
      </c>
      <c r="K233" s="4">
        <f>ROUND(0,2)</f>
        <v>0</v>
      </c>
    </row>
    <row r="234" spans="1:11" ht="38.25">
      <c r="A234" s="2" t="s">
        <v>459</v>
      </c>
      <c r="B234" s="3" t="s">
        <v>1193</v>
      </c>
      <c r="C234" s="3" t="s">
        <v>926</v>
      </c>
      <c r="D234" s="4">
        <f>ROUND(9278643,2)</f>
        <v>9278643</v>
      </c>
      <c r="E234" s="4">
        <f>ROUND(0,2)</f>
        <v>0</v>
      </c>
      <c r="F234" s="4">
        <f>ROUND(7119300,2)</f>
        <v>7119300</v>
      </c>
      <c r="G234" s="4">
        <f>ROUND(2159343,2)</f>
        <v>2159343</v>
      </c>
      <c r="H234" s="4">
        <f>ROUND(1641574.87,2)</f>
        <v>1641574.87</v>
      </c>
      <c r="I234" s="4">
        <f aca="true" t="shared" si="37" ref="I234:J236">ROUND(0,2)</f>
        <v>0</v>
      </c>
      <c r="J234" s="4">
        <f t="shared" si="37"/>
        <v>0</v>
      </c>
      <c r="K234" s="4">
        <f>ROUND(1641574.87,2)</f>
        <v>1641574.87</v>
      </c>
    </row>
    <row r="235" spans="1:11" ht="38.25">
      <c r="A235" s="2" t="s">
        <v>1162</v>
      </c>
      <c r="B235" s="3" t="s">
        <v>906</v>
      </c>
      <c r="C235" s="3" t="s">
        <v>1106</v>
      </c>
      <c r="D235" s="4">
        <f>ROUND(7368198,2)</f>
        <v>7368198</v>
      </c>
      <c r="E235" s="4">
        <f>ROUND(0,2)</f>
        <v>0</v>
      </c>
      <c r="F235" s="4">
        <f>ROUND(7119300,2)</f>
        <v>7119300</v>
      </c>
      <c r="G235" s="4">
        <f>ROUND(248898,2)</f>
        <v>248898</v>
      </c>
      <c r="H235" s="4">
        <f>ROUND(248897.08,2)</f>
        <v>248897.08</v>
      </c>
      <c r="I235" s="4">
        <f t="shared" si="37"/>
        <v>0</v>
      </c>
      <c r="J235" s="4">
        <f t="shared" si="37"/>
        <v>0</v>
      </c>
      <c r="K235" s="4">
        <f>ROUND(248897.08,2)</f>
        <v>248897.08</v>
      </c>
    </row>
    <row r="236" spans="1:11" ht="51">
      <c r="A236" s="2" t="s">
        <v>372</v>
      </c>
      <c r="B236" s="3" t="s">
        <v>1181</v>
      </c>
      <c r="C236" s="3" t="s">
        <v>873</v>
      </c>
      <c r="D236" s="4">
        <f>ROUND(1910445,2)</f>
        <v>1910445</v>
      </c>
      <c r="E236" s="4">
        <f>ROUND(0,2)</f>
        <v>0</v>
      </c>
      <c r="F236" s="4">
        <f>ROUND(0,2)</f>
        <v>0</v>
      </c>
      <c r="G236" s="4">
        <f>ROUND(1910445,2)</f>
        <v>1910445</v>
      </c>
      <c r="H236" s="4">
        <f>ROUND(1392677.79,2)</f>
        <v>1392677.79</v>
      </c>
      <c r="I236" s="4">
        <f t="shared" si="37"/>
        <v>0</v>
      </c>
      <c r="J236" s="4">
        <f t="shared" si="37"/>
        <v>0</v>
      </c>
      <c r="K236" s="4">
        <f>ROUND(1392677.79,2)</f>
        <v>1392677.79</v>
      </c>
    </row>
    <row r="237" spans="1:11" ht="51">
      <c r="A237" s="2" t="s">
        <v>350</v>
      </c>
      <c r="B237" s="3" t="s">
        <v>540</v>
      </c>
      <c r="C237" s="3" t="s">
        <v>735</v>
      </c>
      <c r="D237" s="4">
        <f>ROUND(16854571.12,2)</f>
        <v>16854571.12</v>
      </c>
      <c r="E237" s="4">
        <f>ROUND(8413800,2)</f>
        <v>8413800</v>
      </c>
      <c r="F237" s="4">
        <f>ROUND(13945410.12,2)</f>
        <v>13945410.12</v>
      </c>
      <c r="G237" s="4">
        <f>ROUND(11322961,2)</f>
        <v>11322961</v>
      </c>
      <c r="H237" s="4">
        <f>ROUND(5528046.07,2)</f>
        <v>5528046.07</v>
      </c>
      <c r="I237" s="4">
        <f aca="true" t="shared" si="38" ref="I237:I257">ROUND(0,2)</f>
        <v>0</v>
      </c>
      <c r="J237" s="4">
        <f>ROUND(2972724.56,2)</f>
        <v>2972724.56</v>
      </c>
      <c r="K237" s="4">
        <f>ROUND(2555321.51,2)</f>
        <v>2555321.51</v>
      </c>
    </row>
    <row r="238" spans="1:11" ht="25.5">
      <c r="A238" s="2" t="s">
        <v>1060</v>
      </c>
      <c r="B238" s="3" t="s">
        <v>142</v>
      </c>
      <c r="C238" s="3" t="s">
        <v>114</v>
      </c>
      <c r="D238" s="4">
        <f>ROUND(2046312.19,2)</f>
        <v>2046312.19</v>
      </c>
      <c r="E238" s="4">
        <f>ROUND(8413800,2)</f>
        <v>8413800</v>
      </c>
      <c r="F238" s="4">
        <f>ROUND(8859851.19,2)</f>
        <v>8859851.19</v>
      </c>
      <c r="G238" s="4">
        <f>ROUND(1600261,2)</f>
        <v>1600261</v>
      </c>
      <c r="H238" s="4">
        <f>ROUND(1716249.64,2)</f>
        <v>1716249.64</v>
      </c>
      <c r="I238" s="4">
        <f t="shared" si="38"/>
        <v>0</v>
      </c>
      <c r="J238" s="4">
        <f>ROUND(259217.96,2)</f>
        <v>259217.96</v>
      </c>
      <c r="K238" s="4">
        <f>ROUND(1457031.68,2)</f>
        <v>1457031.68</v>
      </c>
    </row>
    <row r="239" spans="1:11" ht="25.5">
      <c r="A239" s="2" t="s">
        <v>745</v>
      </c>
      <c r="B239" s="3" t="s">
        <v>749</v>
      </c>
      <c r="C239" s="3" t="s">
        <v>286</v>
      </c>
      <c r="D239" s="4">
        <f>ROUND(2046312.19,2)</f>
        <v>2046312.19</v>
      </c>
      <c r="E239" s="4">
        <f>ROUND(0,2)</f>
        <v>0</v>
      </c>
      <c r="F239" s="4">
        <f>ROUND(446051.19,2)</f>
        <v>446051.19</v>
      </c>
      <c r="G239" s="4">
        <f>ROUND(1600261,2)</f>
        <v>1600261</v>
      </c>
      <c r="H239" s="4">
        <f>ROUND(1716249.64,2)</f>
        <v>1716249.64</v>
      </c>
      <c r="I239" s="4">
        <f t="shared" si="38"/>
        <v>0</v>
      </c>
      <c r="J239" s="4">
        <f>ROUND(259217.96,2)</f>
        <v>259217.96</v>
      </c>
      <c r="K239" s="4">
        <f>ROUND(1457031.68,2)</f>
        <v>1457031.68</v>
      </c>
    </row>
    <row r="240" spans="1:11" ht="25.5">
      <c r="A240" s="2" t="s">
        <v>599</v>
      </c>
      <c r="B240" s="3" t="s">
        <v>803</v>
      </c>
      <c r="C240" s="3" t="s">
        <v>867</v>
      </c>
      <c r="D240" s="4">
        <f>ROUND(2046312.19,2)</f>
        <v>2046312.19</v>
      </c>
      <c r="E240" s="4">
        <f>ROUND(0,2)</f>
        <v>0</v>
      </c>
      <c r="F240" s="4">
        <f>ROUND(446051.19,2)</f>
        <v>446051.19</v>
      </c>
      <c r="G240" s="4">
        <f>ROUND(1600261,2)</f>
        <v>1600261</v>
      </c>
      <c r="H240" s="4">
        <f>ROUND(1716249.64,2)</f>
        <v>1716249.64</v>
      </c>
      <c r="I240" s="4">
        <f t="shared" si="38"/>
        <v>0</v>
      </c>
      <c r="J240" s="4">
        <f>ROUND(259217.96,2)</f>
        <v>259217.96</v>
      </c>
      <c r="K240" s="4">
        <f>ROUND(1457031.68,2)</f>
        <v>1457031.68</v>
      </c>
    </row>
    <row r="241" spans="1:11" ht="38.25">
      <c r="A241" s="2" t="s">
        <v>578</v>
      </c>
      <c r="B241" s="3" t="s">
        <v>430</v>
      </c>
      <c r="C241" s="3" t="s">
        <v>258</v>
      </c>
      <c r="D241" s="4">
        <f>ROUND(0,2)</f>
        <v>0</v>
      </c>
      <c r="E241" s="4">
        <f>ROUND(8413800,2)</f>
        <v>8413800</v>
      </c>
      <c r="F241" s="4">
        <f>ROUND(8413800,2)</f>
        <v>8413800</v>
      </c>
      <c r="G241" s="4">
        <f>ROUND(0,2)</f>
        <v>0</v>
      </c>
      <c r="H241" s="4">
        <f>ROUND(0,2)</f>
        <v>0</v>
      </c>
      <c r="I241" s="4">
        <f t="shared" si="38"/>
        <v>0</v>
      </c>
      <c r="J241" s="4">
        <f>ROUND(0,2)</f>
        <v>0</v>
      </c>
      <c r="K241" s="4">
        <f>ROUND(0,2)</f>
        <v>0</v>
      </c>
    </row>
    <row r="242" spans="1:11" ht="76.5">
      <c r="A242" s="2" t="s">
        <v>952</v>
      </c>
      <c r="B242" s="3" t="s">
        <v>990</v>
      </c>
      <c r="C242" s="3" t="s">
        <v>1192</v>
      </c>
      <c r="D242" s="4">
        <f>ROUND(0,2)</f>
        <v>0</v>
      </c>
      <c r="E242" s="4">
        <f>ROUND(8413800,2)</f>
        <v>8413800</v>
      </c>
      <c r="F242" s="4">
        <f>ROUND(8413800,2)</f>
        <v>8413800</v>
      </c>
      <c r="G242" s="4">
        <f>ROUND(0,2)</f>
        <v>0</v>
      </c>
      <c r="H242" s="4">
        <f>ROUND(0,2)</f>
        <v>0</v>
      </c>
      <c r="I242" s="4">
        <f t="shared" si="38"/>
        <v>0</v>
      </c>
      <c r="J242" s="4">
        <f>ROUND(0,2)</f>
        <v>0</v>
      </c>
      <c r="K242" s="4">
        <f>ROUND(0,2)</f>
        <v>0</v>
      </c>
    </row>
    <row r="243" spans="1:11" ht="38.25">
      <c r="A243" s="2" t="s">
        <v>1178</v>
      </c>
      <c r="B243" s="3" t="s">
        <v>188</v>
      </c>
      <c r="C243" s="3" t="s">
        <v>926</v>
      </c>
      <c r="D243" s="4">
        <f>ROUND(14808258.93,2)</f>
        <v>14808258.93</v>
      </c>
      <c r="E243" s="4">
        <f aca="true" t="shared" si="39" ref="E243:E257">ROUND(0,2)</f>
        <v>0</v>
      </c>
      <c r="F243" s="4">
        <f>ROUND(5085558.93,2)</f>
        <v>5085558.93</v>
      </c>
      <c r="G243" s="4">
        <f>ROUND(9722700,2)</f>
        <v>9722700</v>
      </c>
      <c r="H243" s="4">
        <f>ROUND(3811796.43,2)</f>
        <v>3811796.43</v>
      </c>
      <c r="I243" s="4">
        <f t="shared" si="38"/>
        <v>0</v>
      </c>
      <c r="J243" s="4">
        <f>ROUND(2713506.6,2)</f>
        <v>2713506.6</v>
      </c>
      <c r="K243" s="4">
        <f>ROUND(1098289.83,2)</f>
        <v>1098289.83</v>
      </c>
    </row>
    <row r="244" spans="1:11" ht="38.25">
      <c r="A244" s="2" t="s">
        <v>517</v>
      </c>
      <c r="B244" s="3" t="s">
        <v>505</v>
      </c>
      <c r="C244" s="3" t="s">
        <v>1106</v>
      </c>
      <c r="D244" s="4">
        <f>ROUND(14808258.93,2)</f>
        <v>14808258.93</v>
      </c>
      <c r="E244" s="4">
        <f t="shared" si="39"/>
        <v>0</v>
      </c>
      <c r="F244" s="4">
        <f>ROUND(5085558.93,2)</f>
        <v>5085558.93</v>
      </c>
      <c r="G244" s="4">
        <f>ROUND(9722700,2)</f>
        <v>9722700</v>
      </c>
      <c r="H244" s="4">
        <f>ROUND(3811796.43,2)</f>
        <v>3811796.43</v>
      </c>
      <c r="I244" s="4">
        <f t="shared" si="38"/>
        <v>0</v>
      </c>
      <c r="J244" s="4">
        <f>ROUND(2713506.6,2)</f>
        <v>2713506.6</v>
      </c>
      <c r="K244" s="4">
        <f>ROUND(1098289.83,2)</f>
        <v>1098289.83</v>
      </c>
    </row>
    <row r="245" spans="1:11" ht="38.25">
      <c r="A245" s="2" t="s">
        <v>516</v>
      </c>
      <c r="B245" s="3" t="s">
        <v>206</v>
      </c>
      <c r="C245" s="3" t="s">
        <v>446</v>
      </c>
      <c r="D245" s="4">
        <f>ROUND(12444830,2)</f>
        <v>12444830</v>
      </c>
      <c r="E245" s="4">
        <f t="shared" si="39"/>
        <v>0</v>
      </c>
      <c r="F245" s="4">
        <f>ROUND(12444830,2)</f>
        <v>12444830</v>
      </c>
      <c r="G245" s="4">
        <f aca="true" t="shared" si="40" ref="G245:G257">ROUND(0,2)</f>
        <v>0</v>
      </c>
      <c r="H245" s="4">
        <f>ROUND(10676530,2)</f>
        <v>10676530</v>
      </c>
      <c r="I245" s="4">
        <f t="shared" si="38"/>
        <v>0</v>
      </c>
      <c r="J245" s="4">
        <f>ROUND(10676530,2)</f>
        <v>10676530</v>
      </c>
      <c r="K245" s="4">
        <f aca="true" t="shared" si="41" ref="K245:K257">ROUND(0,2)</f>
        <v>0</v>
      </c>
    </row>
    <row r="246" spans="1:11" ht="25.5">
      <c r="A246" s="2" t="s">
        <v>1018</v>
      </c>
      <c r="B246" s="3" t="s">
        <v>325</v>
      </c>
      <c r="C246" s="3" t="s">
        <v>114</v>
      </c>
      <c r="D246" s="4">
        <f>ROUND(30000,2)</f>
        <v>30000</v>
      </c>
      <c r="E246" s="4">
        <f t="shared" si="39"/>
        <v>0</v>
      </c>
      <c r="F246" s="4">
        <f>ROUND(30000,2)</f>
        <v>30000</v>
      </c>
      <c r="G246" s="4">
        <f t="shared" si="40"/>
        <v>0</v>
      </c>
      <c r="H246" s="4">
        <f>ROUND(15000,2)</f>
        <v>15000</v>
      </c>
      <c r="I246" s="4">
        <f t="shared" si="38"/>
        <v>0</v>
      </c>
      <c r="J246" s="4">
        <f>ROUND(15000,2)</f>
        <v>15000</v>
      </c>
      <c r="K246" s="4">
        <f t="shared" si="41"/>
        <v>0</v>
      </c>
    </row>
    <row r="247" spans="1:11" ht="25.5">
      <c r="A247" s="2" t="s">
        <v>437</v>
      </c>
      <c r="B247" s="3" t="s">
        <v>916</v>
      </c>
      <c r="C247" s="3" t="s">
        <v>286</v>
      </c>
      <c r="D247" s="4">
        <f>ROUND(30000,2)</f>
        <v>30000</v>
      </c>
      <c r="E247" s="4">
        <f t="shared" si="39"/>
        <v>0</v>
      </c>
      <c r="F247" s="4">
        <f>ROUND(30000,2)</f>
        <v>30000</v>
      </c>
      <c r="G247" s="4">
        <f t="shared" si="40"/>
        <v>0</v>
      </c>
      <c r="H247" s="4">
        <f>ROUND(15000,2)</f>
        <v>15000</v>
      </c>
      <c r="I247" s="4">
        <f t="shared" si="38"/>
        <v>0</v>
      </c>
      <c r="J247" s="4">
        <f>ROUND(15000,2)</f>
        <v>15000</v>
      </c>
      <c r="K247" s="4">
        <f t="shared" si="41"/>
        <v>0</v>
      </c>
    </row>
    <row r="248" spans="1:11" ht="25.5">
      <c r="A248" s="2" t="s">
        <v>1040</v>
      </c>
      <c r="B248" s="3" t="s">
        <v>1150</v>
      </c>
      <c r="C248" s="3" t="s">
        <v>867</v>
      </c>
      <c r="D248" s="4">
        <f>ROUND(30000,2)</f>
        <v>30000</v>
      </c>
      <c r="E248" s="4">
        <f t="shared" si="39"/>
        <v>0</v>
      </c>
      <c r="F248" s="4">
        <f>ROUND(30000,2)</f>
        <v>30000</v>
      </c>
      <c r="G248" s="4">
        <f t="shared" si="40"/>
        <v>0</v>
      </c>
      <c r="H248" s="4">
        <f>ROUND(15000,2)</f>
        <v>15000</v>
      </c>
      <c r="I248" s="4">
        <f t="shared" si="38"/>
        <v>0</v>
      </c>
      <c r="J248" s="4">
        <f>ROUND(15000,2)</f>
        <v>15000</v>
      </c>
      <c r="K248" s="4">
        <f t="shared" si="41"/>
        <v>0</v>
      </c>
    </row>
    <row r="249" spans="1:11" ht="38.25">
      <c r="A249" s="2" t="s">
        <v>33</v>
      </c>
      <c r="B249" s="3" t="s">
        <v>553</v>
      </c>
      <c r="C249" s="3" t="s">
        <v>926</v>
      </c>
      <c r="D249" s="4">
        <f>ROUND(12414830,2)</f>
        <v>12414830</v>
      </c>
      <c r="E249" s="4">
        <f t="shared" si="39"/>
        <v>0</v>
      </c>
      <c r="F249" s="4">
        <f>ROUND(12414830,2)</f>
        <v>12414830</v>
      </c>
      <c r="G249" s="4">
        <f t="shared" si="40"/>
        <v>0</v>
      </c>
      <c r="H249" s="4">
        <f>ROUND(10661530,2)</f>
        <v>10661530</v>
      </c>
      <c r="I249" s="4">
        <f t="shared" si="38"/>
        <v>0</v>
      </c>
      <c r="J249" s="4">
        <f>ROUND(10661530,2)</f>
        <v>10661530</v>
      </c>
      <c r="K249" s="4">
        <f t="shared" si="41"/>
        <v>0</v>
      </c>
    </row>
    <row r="250" spans="1:11" ht="38.25">
      <c r="A250" s="2" t="s">
        <v>1077</v>
      </c>
      <c r="B250" s="3" t="s">
        <v>240</v>
      </c>
      <c r="C250" s="3" t="s">
        <v>1106</v>
      </c>
      <c r="D250" s="4">
        <f>ROUND(12414830,2)</f>
        <v>12414830</v>
      </c>
      <c r="E250" s="4">
        <f t="shared" si="39"/>
        <v>0</v>
      </c>
      <c r="F250" s="4">
        <f>ROUND(12414830,2)</f>
        <v>12414830</v>
      </c>
      <c r="G250" s="4">
        <f t="shared" si="40"/>
        <v>0</v>
      </c>
      <c r="H250" s="4">
        <f>ROUND(10661530,2)</f>
        <v>10661530</v>
      </c>
      <c r="I250" s="4">
        <f t="shared" si="38"/>
        <v>0</v>
      </c>
      <c r="J250" s="4">
        <f>ROUND(10661530,2)</f>
        <v>10661530</v>
      </c>
      <c r="K250" s="4">
        <f t="shared" si="41"/>
        <v>0</v>
      </c>
    </row>
    <row r="251" spans="1:11" ht="51">
      <c r="A251" s="2" t="s">
        <v>312</v>
      </c>
      <c r="B251" s="3" t="s">
        <v>1086</v>
      </c>
      <c r="C251" s="3" t="s">
        <v>1167</v>
      </c>
      <c r="D251" s="4">
        <f>ROUND(30000,2)</f>
        <v>30000</v>
      </c>
      <c r="E251" s="4">
        <f t="shared" si="39"/>
        <v>0</v>
      </c>
      <c r="F251" s="4">
        <f>ROUND(30000,2)</f>
        <v>30000</v>
      </c>
      <c r="G251" s="4">
        <f t="shared" si="40"/>
        <v>0</v>
      </c>
      <c r="H251" s="4">
        <f>ROUND(15000,2)</f>
        <v>15000</v>
      </c>
      <c r="I251" s="4">
        <f t="shared" si="38"/>
        <v>0</v>
      </c>
      <c r="J251" s="4">
        <f>ROUND(15000,2)</f>
        <v>15000</v>
      </c>
      <c r="K251" s="4">
        <f t="shared" si="41"/>
        <v>0</v>
      </c>
    </row>
    <row r="252" spans="1:11" ht="25.5">
      <c r="A252" s="2" t="s">
        <v>798</v>
      </c>
      <c r="B252" s="3" t="s">
        <v>650</v>
      </c>
      <c r="C252" s="3" t="s">
        <v>114</v>
      </c>
      <c r="D252" s="4">
        <f>ROUND(30000,2)</f>
        <v>30000</v>
      </c>
      <c r="E252" s="4">
        <f t="shared" si="39"/>
        <v>0</v>
      </c>
      <c r="F252" s="4">
        <f>ROUND(30000,2)</f>
        <v>30000</v>
      </c>
      <c r="G252" s="4">
        <f t="shared" si="40"/>
        <v>0</v>
      </c>
      <c r="H252" s="4">
        <f>ROUND(15000,2)</f>
        <v>15000</v>
      </c>
      <c r="I252" s="4">
        <f t="shared" si="38"/>
        <v>0</v>
      </c>
      <c r="J252" s="4">
        <f>ROUND(15000,2)</f>
        <v>15000</v>
      </c>
      <c r="K252" s="4">
        <f t="shared" si="41"/>
        <v>0</v>
      </c>
    </row>
    <row r="253" spans="1:11" ht="25.5">
      <c r="A253" s="2" t="s">
        <v>487</v>
      </c>
      <c r="B253" s="3" t="s">
        <v>43</v>
      </c>
      <c r="C253" s="3" t="s">
        <v>286</v>
      </c>
      <c r="D253" s="4">
        <f>ROUND(30000,2)</f>
        <v>30000</v>
      </c>
      <c r="E253" s="4">
        <f t="shared" si="39"/>
        <v>0</v>
      </c>
      <c r="F253" s="4">
        <f>ROUND(30000,2)</f>
        <v>30000</v>
      </c>
      <c r="G253" s="4">
        <f t="shared" si="40"/>
        <v>0</v>
      </c>
      <c r="H253" s="4">
        <f>ROUND(15000,2)</f>
        <v>15000</v>
      </c>
      <c r="I253" s="4">
        <f t="shared" si="38"/>
        <v>0</v>
      </c>
      <c r="J253" s="4">
        <f>ROUND(15000,2)</f>
        <v>15000</v>
      </c>
      <c r="K253" s="4">
        <f t="shared" si="41"/>
        <v>0</v>
      </c>
    </row>
    <row r="254" spans="1:11" ht="25.5">
      <c r="A254" s="2" t="s">
        <v>572</v>
      </c>
      <c r="B254" s="3" t="s">
        <v>304</v>
      </c>
      <c r="C254" s="3" t="s">
        <v>867</v>
      </c>
      <c r="D254" s="4">
        <f>ROUND(30000,2)</f>
        <v>30000</v>
      </c>
      <c r="E254" s="4">
        <f t="shared" si="39"/>
        <v>0</v>
      </c>
      <c r="F254" s="4">
        <f>ROUND(30000,2)</f>
        <v>30000</v>
      </c>
      <c r="G254" s="4">
        <f t="shared" si="40"/>
        <v>0</v>
      </c>
      <c r="H254" s="4">
        <f>ROUND(15000,2)</f>
        <v>15000</v>
      </c>
      <c r="I254" s="4">
        <f t="shared" si="38"/>
        <v>0</v>
      </c>
      <c r="J254" s="4">
        <f>ROUND(15000,2)</f>
        <v>15000</v>
      </c>
      <c r="K254" s="4">
        <f t="shared" si="41"/>
        <v>0</v>
      </c>
    </row>
    <row r="255" spans="1:11" ht="51">
      <c r="A255" s="2" t="s">
        <v>1171</v>
      </c>
      <c r="B255" s="3" t="s">
        <v>236</v>
      </c>
      <c r="C255" s="3" t="s">
        <v>1141</v>
      </c>
      <c r="D255" s="4">
        <f>ROUND(12414830,2)</f>
        <v>12414830</v>
      </c>
      <c r="E255" s="4">
        <f t="shared" si="39"/>
        <v>0</v>
      </c>
      <c r="F255" s="4">
        <f>ROUND(12414830,2)</f>
        <v>12414830</v>
      </c>
      <c r="G255" s="4">
        <f t="shared" si="40"/>
        <v>0</v>
      </c>
      <c r="H255" s="4">
        <f>ROUND(10661530,2)</f>
        <v>10661530</v>
      </c>
      <c r="I255" s="4">
        <f t="shared" si="38"/>
        <v>0</v>
      </c>
      <c r="J255" s="4">
        <f>ROUND(10661530,2)</f>
        <v>10661530</v>
      </c>
      <c r="K255" s="4">
        <f t="shared" si="41"/>
        <v>0</v>
      </c>
    </row>
    <row r="256" spans="1:11" ht="38.25">
      <c r="A256" s="2" t="s">
        <v>362</v>
      </c>
      <c r="B256" s="3" t="s">
        <v>500</v>
      </c>
      <c r="C256" s="3" t="s">
        <v>926</v>
      </c>
      <c r="D256" s="4">
        <f>ROUND(12414830,2)</f>
        <v>12414830</v>
      </c>
      <c r="E256" s="4">
        <f t="shared" si="39"/>
        <v>0</v>
      </c>
      <c r="F256" s="4">
        <f>ROUND(12414830,2)</f>
        <v>12414830</v>
      </c>
      <c r="G256" s="4">
        <f t="shared" si="40"/>
        <v>0</v>
      </c>
      <c r="H256" s="4">
        <f>ROUND(10661530,2)</f>
        <v>10661530</v>
      </c>
      <c r="I256" s="4">
        <f t="shared" si="38"/>
        <v>0</v>
      </c>
      <c r="J256" s="4">
        <f>ROUND(10661530,2)</f>
        <v>10661530</v>
      </c>
      <c r="K256" s="4">
        <f t="shared" si="41"/>
        <v>0</v>
      </c>
    </row>
    <row r="257" spans="1:11" ht="38.25">
      <c r="A257" s="2" t="s">
        <v>1047</v>
      </c>
      <c r="B257" s="3" t="s">
        <v>198</v>
      </c>
      <c r="C257" s="3" t="s">
        <v>1106</v>
      </c>
      <c r="D257" s="4">
        <f>ROUND(12414830,2)</f>
        <v>12414830</v>
      </c>
      <c r="E257" s="4">
        <f t="shared" si="39"/>
        <v>0</v>
      </c>
      <c r="F257" s="4">
        <f>ROUND(12414830,2)</f>
        <v>12414830</v>
      </c>
      <c r="G257" s="4">
        <f t="shared" si="40"/>
        <v>0</v>
      </c>
      <c r="H257" s="4">
        <f>ROUND(10661530,2)</f>
        <v>10661530</v>
      </c>
      <c r="I257" s="4">
        <f t="shared" si="38"/>
        <v>0</v>
      </c>
      <c r="J257" s="4">
        <f>ROUND(10661530,2)</f>
        <v>10661530</v>
      </c>
      <c r="K257" s="4">
        <f t="shared" si="41"/>
        <v>0</v>
      </c>
    </row>
    <row r="258" spans="1:11" ht="25.5">
      <c r="A258" s="2" t="s">
        <v>396</v>
      </c>
      <c r="B258" s="3" t="s">
        <v>1115</v>
      </c>
      <c r="C258" s="3" t="s">
        <v>407</v>
      </c>
      <c r="D258" s="4">
        <f>ROUND(416643526.34,2)</f>
        <v>416643526.34</v>
      </c>
      <c r="E258" s="4">
        <f>ROUND(44152062,2)</f>
        <v>44152062</v>
      </c>
      <c r="F258" s="4">
        <f>ROUND(408855466.34,2)</f>
        <v>408855466.34</v>
      </c>
      <c r="G258" s="4">
        <f>ROUND(51940122,2)</f>
        <v>51940122</v>
      </c>
      <c r="H258" s="4">
        <f>ROUND(210016613.48,2)</f>
        <v>210016613.48</v>
      </c>
      <c r="I258" s="4">
        <f>ROUND(29528686.37,2)</f>
        <v>29528686.37</v>
      </c>
      <c r="J258" s="4">
        <f>ROUND(207901541.24,2)</f>
        <v>207901541.24</v>
      </c>
      <c r="K258" s="4">
        <f>ROUND(31643758.61,2)</f>
        <v>31643758.61</v>
      </c>
    </row>
    <row r="259" spans="1:11" ht="25.5">
      <c r="A259" s="2" t="s">
        <v>1113</v>
      </c>
      <c r="B259" s="3" t="s">
        <v>610</v>
      </c>
      <c r="C259" s="3" t="s">
        <v>114</v>
      </c>
      <c r="D259" s="4">
        <f>ROUND(261302146.17,2)</f>
        <v>261302146.17</v>
      </c>
      <c r="E259" s="4">
        <f>ROUND(44152062,2)</f>
        <v>44152062</v>
      </c>
      <c r="F259" s="4">
        <f>ROUND(262400998.17,2)</f>
        <v>262400998.17</v>
      </c>
      <c r="G259" s="4">
        <f>ROUND(43053210,2)</f>
        <v>43053210</v>
      </c>
      <c r="H259" s="4">
        <f>ROUND(165309121.63,2)</f>
        <v>165309121.63</v>
      </c>
      <c r="I259" s="4">
        <f>ROUND(29528686.37,2)</f>
        <v>29528686.37</v>
      </c>
      <c r="J259" s="4">
        <f>ROUND(169083411.03,2)</f>
        <v>169083411.03</v>
      </c>
      <c r="K259" s="4">
        <f>ROUND(25754396.97,2)</f>
        <v>25754396.97</v>
      </c>
    </row>
    <row r="260" spans="1:11" ht="51">
      <c r="A260" s="2" t="s">
        <v>580</v>
      </c>
      <c r="B260" s="3" t="s">
        <v>935</v>
      </c>
      <c r="C260" s="3" t="s">
        <v>933</v>
      </c>
      <c r="D260" s="4">
        <f>ROUND(211130290,2)</f>
        <v>211130290</v>
      </c>
      <c r="E260" s="4">
        <f aca="true" t="shared" si="42" ref="E260:E269">ROUND(0,2)</f>
        <v>0</v>
      </c>
      <c r="F260" s="4">
        <f>ROUND(180236638,2)</f>
        <v>180236638</v>
      </c>
      <c r="G260" s="4">
        <f>ROUND(30893652,2)</f>
        <v>30893652</v>
      </c>
      <c r="H260" s="4">
        <f>ROUND(134504752.26,2)</f>
        <v>134504752.26</v>
      </c>
      <c r="I260" s="4">
        <f aca="true" t="shared" si="43" ref="I260:I269">ROUND(0,2)</f>
        <v>0</v>
      </c>
      <c r="J260" s="4">
        <f>ROUND(114259026.96,2)</f>
        <v>114259026.96</v>
      </c>
      <c r="K260" s="4">
        <f>ROUND(20245725.3,2)</f>
        <v>20245725.3</v>
      </c>
    </row>
    <row r="261" spans="1:11" ht="25.5">
      <c r="A261" s="2" t="s">
        <v>1059</v>
      </c>
      <c r="B261" s="3" t="s">
        <v>418</v>
      </c>
      <c r="C261" s="3" t="s">
        <v>227</v>
      </c>
      <c r="D261" s="4">
        <f>ROUND(159582300,2)</f>
        <v>159582300</v>
      </c>
      <c r="E261" s="4">
        <f t="shared" si="42"/>
        <v>0</v>
      </c>
      <c r="F261" s="4">
        <f>ROUND(136230220,2)</f>
        <v>136230220</v>
      </c>
      <c r="G261" s="4">
        <f>ROUND(23352080,2)</f>
        <v>23352080</v>
      </c>
      <c r="H261" s="4">
        <f>ROUND(102218849.57,2)</f>
        <v>102218849.57</v>
      </c>
      <c r="I261" s="4">
        <f t="shared" si="43"/>
        <v>0</v>
      </c>
      <c r="J261" s="4">
        <f>ROUND(86580601.37,2)</f>
        <v>86580601.37</v>
      </c>
      <c r="K261" s="4">
        <f>ROUND(15638248.2,2)</f>
        <v>15638248.2</v>
      </c>
    </row>
    <row r="262" spans="1:11" ht="25.5">
      <c r="A262" s="2" t="s">
        <v>349</v>
      </c>
      <c r="B262" s="3" t="s">
        <v>1125</v>
      </c>
      <c r="C262" s="3" t="s">
        <v>343</v>
      </c>
      <c r="D262" s="4">
        <f>ROUND(2868090,2)</f>
        <v>2868090</v>
      </c>
      <c r="E262" s="4">
        <f t="shared" si="42"/>
        <v>0</v>
      </c>
      <c r="F262" s="4">
        <f>ROUND(2776890,2)</f>
        <v>2776890</v>
      </c>
      <c r="G262" s="4">
        <f>ROUND(91200,2)</f>
        <v>91200</v>
      </c>
      <c r="H262" s="4">
        <f>ROUND(2576060,2)</f>
        <v>2576060</v>
      </c>
      <c r="I262" s="4">
        <f t="shared" si="43"/>
        <v>0</v>
      </c>
      <c r="J262" s="4">
        <f>ROUND(2515060,2)</f>
        <v>2515060</v>
      </c>
      <c r="K262" s="4">
        <f>ROUND(61000,2)</f>
        <v>61000</v>
      </c>
    </row>
    <row r="263" spans="1:11" ht="38.25">
      <c r="A263" s="2" t="s">
        <v>1136</v>
      </c>
      <c r="B263" s="3" t="s">
        <v>570</v>
      </c>
      <c r="C263" s="3" t="s">
        <v>144</v>
      </c>
      <c r="D263" s="4">
        <f>ROUND(48679900,2)</f>
        <v>48679900</v>
      </c>
      <c r="E263" s="4">
        <f t="shared" si="42"/>
        <v>0</v>
      </c>
      <c r="F263" s="4">
        <f>ROUND(41229528,2)</f>
        <v>41229528</v>
      </c>
      <c r="G263" s="4">
        <f>ROUND(7450372,2)</f>
        <v>7450372</v>
      </c>
      <c r="H263" s="4">
        <f>ROUND(29709842.69,2)</f>
        <v>29709842.69</v>
      </c>
      <c r="I263" s="4">
        <f t="shared" si="43"/>
        <v>0</v>
      </c>
      <c r="J263" s="4">
        <f>ROUND(25163365.59,2)</f>
        <v>25163365.59</v>
      </c>
      <c r="K263" s="4">
        <f>ROUND(4546477.1,2)</f>
        <v>4546477.1</v>
      </c>
    </row>
    <row r="264" spans="1:11" ht="25.5">
      <c r="A264" s="2" t="s">
        <v>480</v>
      </c>
      <c r="B264" s="3" t="s">
        <v>1</v>
      </c>
      <c r="C264" s="3" t="s">
        <v>286</v>
      </c>
      <c r="D264" s="4">
        <f>ROUND(49813191.17,2)</f>
        <v>49813191.17</v>
      </c>
      <c r="E264" s="4">
        <f t="shared" si="42"/>
        <v>0</v>
      </c>
      <c r="F264" s="4">
        <f>ROUND(37693998.17,2)</f>
        <v>37693998.17</v>
      </c>
      <c r="G264" s="4">
        <f>ROUND(12119193,2)</f>
        <v>12119193</v>
      </c>
      <c r="H264" s="4">
        <f>ROUND(30578246.65,2)</f>
        <v>30578246.65</v>
      </c>
      <c r="I264" s="4">
        <f t="shared" si="43"/>
        <v>0</v>
      </c>
      <c r="J264" s="4">
        <f>ROUND(25106284.06,2)</f>
        <v>25106284.06</v>
      </c>
      <c r="K264" s="4">
        <f>ROUND(5471962.59,2)</f>
        <v>5471962.59</v>
      </c>
    </row>
    <row r="265" spans="1:11" ht="25.5">
      <c r="A265" s="2" t="s">
        <v>1157</v>
      </c>
      <c r="B265" s="3" t="s">
        <v>715</v>
      </c>
      <c r="C265" s="3" t="s">
        <v>736</v>
      </c>
      <c r="D265" s="4">
        <f>ROUND(1421450,2)</f>
        <v>1421450</v>
      </c>
      <c r="E265" s="4">
        <f t="shared" si="42"/>
        <v>0</v>
      </c>
      <c r="F265" s="4">
        <f>ROUND(1285000,2)</f>
        <v>1285000</v>
      </c>
      <c r="G265" s="4">
        <f>ROUND(136450,2)</f>
        <v>136450</v>
      </c>
      <c r="H265" s="4">
        <f>ROUND(817386.86,2)</f>
        <v>817386.86</v>
      </c>
      <c r="I265" s="4">
        <f t="shared" si="43"/>
        <v>0</v>
      </c>
      <c r="J265" s="4">
        <f>ROUND(732069.09,2)</f>
        <v>732069.09</v>
      </c>
      <c r="K265" s="4">
        <f>ROUND(85317.77,2)</f>
        <v>85317.77</v>
      </c>
    </row>
    <row r="266" spans="1:11" ht="25.5">
      <c r="A266" s="2" t="s">
        <v>475</v>
      </c>
      <c r="B266" s="3" t="s">
        <v>209</v>
      </c>
      <c r="C266" s="3" t="s">
        <v>531</v>
      </c>
      <c r="D266" s="4">
        <f>ROUND(189045,2)</f>
        <v>189045</v>
      </c>
      <c r="E266" s="4">
        <f t="shared" si="42"/>
        <v>0</v>
      </c>
      <c r="F266" s="4">
        <f>ROUND(135400,2)</f>
        <v>135400</v>
      </c>
      <c r="G266" s="4">
        <f>ROUND(53645,2)</f>
        <v>53645</v>
      </c>
      <c r="H266" s="4">
        <f>ROUND(81632.52,2)</f>
        <v>81632.52</v>
      </c>
      <c r="I266" s="4">
        <f t="shared" si="43"/>
        <v>0</v>
      </c>
      <c r="J266" s="4">
        <f>ROUND(74987.52,2)</f>
        <v>74987.52</v>
      </c>
      <c r="K266" s="4">
        <f>ROUND(6645,2)</f>
        <v>6645</v>
      </c>
    </row>
    <row r="267" spans="1:11" ht="25.5">
      <c r="A267" s="2" t="s">
        <v>266</v>
      </c>
      <c r="B267" s="3" t="s">
        <v>888</v>
      </c>
      <c r="C267" s="3" t="s">
        <v>1008</v>
      </c>
      <c r="D267" s="4">
        <f>ROUND(17140307,2)</f>
        <v>17140307</v>
      </c>
      <c r="E267" s="4">
        <f t="shared" si="42"/>
        <v>0</v>
      </c>
      <c r="F267" s="4">
        <f>ROUND(13936357,2)</f>
        <v>13936357</v>
      </c>
      <c r="G267" s="4">
        <f>ROUND(3203950,2)</f>
        <v>3203950</v>
      </c>
      <c r="H267" s="4">
        <f>ROUND(12866231.4,2)</f>
        <v>12866231.4</v>
      </c>
      <c r="I267" s="4">
        <f t="shared" si="43"/>
        <v>0</v>
      </c>
      <c r="J267" s="4">
        <f>ROUND(10809061.26,2)</f>
        <v>10809061.26</v>
      </c>
      <c r="K267" s="4">
        <f>ROUND(2057170.14,2)</f>
        <v>2057170.14</v>
      </c>
    </row>
    <row r="268" spans="1:11" ht="38.25">
      <c r="A268" s="2" t="s">
        <v>136</v>
      </c>
      <c r="B268" s="3" t="s">
        <v>683</v>
      </c>
      <c r="C268" s="3" t="s">
        <v>815</v>
      </c>
      <c r="D268" s="4">
        <f>ROUND(19675516.01,2)</f>
        <v>19675516.01</v>
      </c>
      <c r="E268" s="4">
        <f t="shared" si="42"/>
        <v>0</v>
      </c>
      <c r="F268" s="4">
        <f>ROUND(11686238.01,2)</f>
        <v>11686238.01</v>
      </c>
      <c r="G268" s="4">
        <f>ROUND(7989278,2)</f>
        <v>7989278</v>
      </c>
      <c r="H268" s="4">
        <f>ROUND(9907569.07,2)</f>
        <v>9907569.07</v>
      </c>
      <c r="I268" s="4">
        <f t="shared" si="43"/>
        <v>0</v>
      </c>
      <c r="J268" s="4">
        <f>ROUND(7110098.9,2)</f>
        <v>7110098.9</v>
      </c>
      <c r="K268" s="4">
        <f>ROUND(2797470.17,2)</f>
        <v>2797470.17</v>
      </c>
    </row>
    <row r="269" spans="1:11" ht="25.5">
      <c r="A269" s="2" t="s">
        <v>675</v>
      </c>
      <c r="B269" s="3" t="s">
        <v>253</v>
      </c>
      <c r="C269" s="3" t="s">
        <v>867</v>
      </c>
      <c r="D269" s="4">
        <f>ROUND(11386873.16,2)</f>
        <v>11386873.16</v>
      </c>
      <c r="E269" s="4">
        <f t="shared" si="42"/>
        <v>0</v>
      </c>
      <c r="F269" s="4">
        <f>ROUND(10651003.16,2)</f>
        <v>10651003.16</v>
      </c>
      <c r="G269" s="4">
        <f>ROUND(735870,2)</f>
        <v>735870</v>
      </c>
      <c r="H269" s="4">
        <f>ROUND(6905426.8,2)</f>
        <v>6905426.8</v>
      </c>
      <c r="I269" s="4">
        <f t="shared" si="43"/>
        <v>0</v>
      </c>
      <c r="J269" s="4">
        <f>ROUND(6380067.29,2)</f>
        <v>6380067.29</v>
      </c>
      <c r="K269" s="4">
        <f>ROUND(525359.51,2)</f>
        <v>525359.51</v>
      </c>
    </row>
    <row r="270" spans="1:11" ht="38.25">
      <c r="A270" s="2" t="s">
        <v>1140</v>
      </c>
      <c r="B270" s="3" t="s">
        <v>955</v>
      </c>
      <c r="C270" s="3" t="s">
        <v>258</v>
      </c>
      <c r="D270" s="4">
        <f>ROUND(0,2)</f>
        <v>0</v>
      </c>
      <c r="E270" s="4">
        <f>ROUND(44152062,2)</f>
        <v>44152062</v>
      </c>
      <c r="F270" s="4">
        <f>ROUND(44152062,2)</f>
        <v>44152062</v>
      </c>
      <c r="G270" s="4">
        <f>ROUND(0,2)</f>
        <v>0</v>
      </c>
      <c r="H270" s="4">
        <f>ROUND(0,2)</f>
        <v>0</v>
      </c>
      <c r="I270" s="4">
        <f>ROUND(29528686.37,2)</f>
        <v>29528686.37</v>
      </c>
      <c r="J270" s="4">
        <f>ROUND(29528686.37,2)</f>
        <v>29528686.37</v>
      </c>
      <c r="K270" s="4">
        <f>ROUND(0,2)</f>
        <v>0</v>
      </c>
    </row>
    <row r="271" spans="1:11" ht="76.5">
      <c r="A271" s="2" t="s">
        <v>467</v>
      </c>
      <c r="B271" s="3" t="s">
        <v>393</v>
      </c>
      <c r="C271" s="3" t="s">
        <v>1192</v>
      </c>
      <c r="D271" s="4">
        <f>ROUND(0,2)</f>
        <v>0</v>
      </c>
      <c r="E271" s="4">
        <f>ROUND(44152062,2)</f>
        <v>44152062</v>
      </c>
      <c r="F271" s="4">
        <f>ROUND(44152062,2)</f>
        <v>44152062</v>
      </c>
      <c r="G271" s="4">
        <f>ROUND(0,2)</f>
        <v>0</v>
      </c>
      <c r="H271" s="4">
        <f>ROUND(0,2)</f>
        <v>0</v>
      </c>
      <c r="I271" s="4">
        <f>ROUND(29528686.37,2)</f>
        <v>29528686.37</v>
      </c>
      <c r="J271" s="4">
        <f>ROUND(29528686.37,2)</f>
        <v>29528686.37</v>
      </c>
      <c r="K271" s="4">
        <f>ROUND(0,2)</f>
        <v>0</v>
      </c>
    </row>
    <row r="272" spans="1:11" ht="25.5">
      <c r="A272" s="2" t="s">
        <v>951</v>
      </c>
      <c r="B272" s="3" t="s">
        <v>979</v>
      </c>
      <c r="C272" s="3" t="s">
        <v>1114</v>
      </c>
      <c r="D272" s="4">
        <f>ROUND(358665,2)</f>
        <v>358665</v>
      </c>
      <c r="E272" s="4">
        <f>ROUND(0,2)</f>
        <v>0</v>
      </c>
      <c r="F272" s="4">
        <f>ROUND(318300,2)</f>
        <v>318300</v>
      </c>
      <c r="G272" s="4">
        <f>ROUND(40365,2)</f>
        <v>40365</v>
      </c>
      <c r="H272" s="4">
        <f>ROUND(226122.72,2)</f>
        <v>226122.72</v>
      </c>
      <c r="I272" s="4">
        <f>ROUND(0,2)</f>
        <v>0</v>
      </c>
      <c r="J272" s="4">
        <f>ROUND(189413.64,2)</f>
        <v>189413.64</v>
      </c>
      <c r="K272" s="4">
        <f>ROUND(36709.08,2)</f>
        <v>36709.08</v>
      </c>
    </row>
    <row r="273" spans="1:11" ht="38.25">
      <c r="A273" s="2" t="s">
        <v>390</v>
      </c>
      <c r="B273" s="3" t="s">
        <v>870</v>
      </c>
      <c r="C273" s="3" t="s">
        <v>926</v>
      </c>
      <c r="D273" s="4">
        <f>ROUND(155341380.17,2)</f>
        <v>155341380.17</v>
      </c>
      <c r="E273" s="4">
        <f>ROUND(0,2)</f>
        <v>0</v>
      </c>
      <c r="F273" s="4">
        <f>ROUND(146454468.17,2)</f>
        <v>146454468.17</v>
      </c>
      <c r="G273" s="4">
        <f>ROUND(8886912,2)</f>
        <v>8886912</v>
      </c>
      <c r="H273" s="4">
        <f>ROUND(44707491.85,2)</f>
        <v>44707491.85</v>
      </c>
      <c r="I273" s="4">
        <f>ROUND(0,2)</f>
        <v>0</v>
      </c>
      <c r="J273" s="4">
        <f>ROUND(38818130.21,2)</f>
        <v>38818130.21</v>
      </c>
      <c r="K273" s="4">
        <f>ROUND(5889361.64,2)</f>
        <v>5889361.64</v>
      </c>
    </row>
    <row r="274" spans="1:11" ht="38.25">
      <c r="A274" s="2" t="s">
        <v>862</v>
      </c>
      <c r="B274" s="3" t="s">
        <v>1146</v>
      </c>
      <c r="C274" s="3" t="s">
        <v>1106</v>
      </c>
      <c r="D274" s="4">
        <f>ROUND(127341608.83,2)</f>
        <v>127341608.83</v>
      </c>
      <c r="E274" s="4">
        <f>ROUND(0,2)</f>
        <v>0</v>
      </c>
      <c r="F274" s="4">
        <f>ROUND(123554558.83,2)</f>
        <v>123554558.83</v>
      </c>
      <c r="G274" s="4">
        <f>ROUND(3787050,2)</f>
        <v>3787050</v>
      </c>
      <c r="H274" s="4">
        <f>ROUND(24434956.31,2)</f>
        <v>24434956.31</v>
      </c>
      <c r="I274" s="4">
        <f>ROUND(0,2)</f>
        <v>0</v>
      </c>
      <c r="J274" s="4">
        <f>ROUND(22031304.74,2)</f>
        <v>22031304.74</v>
      </c>
      <c r="K274" s="4">
        <f>ROUND(2403651.57,2)</f>
        <v>2403651.57</v>
      </c>
    </row>
    <row r="275" spans="1:11" ht="51">
      <c r="A275" s="2" t="s">
        <v>69</v>
      </c>
      <c r="B275" s="3" t="s">
        <v>839</v>
      </c>
      <c r="C275" s="3" t="s">
        <v>873</v>
      </c>
      <c r="D275" s="4">
        <f>ROUND(27999771.34,2)</f>
        <v>27999771.34</v>
      </c>
      <c r="E275" s="4">
        <f>ROUND(0,2)</f>
        <v>0</v>
      </c>
      <c r="F275" s="4">
        <f>ROUND(22899909.34,2)</f>
        <v>22899909.34</v>
      </c>
      <c r="G275" s="4">
        <f>ROUND(5099862,2)</f>
        <v>5099862</v>
      </c>
      <c r="H275" s="4">
        <f>ROUND(20272535.54,2)</f>
        <v>20272535.54</v>
      </c>
      <c r="I275" s="4">
        <f>ROUND(0,2)</f>
        <v>0</v>
      </c>
      <c r="J275" s="4">
        <f>ROUND(16786825.47,2)</f>
        <v>16786825.47</v>
      </c>
      <c r="K275" s="4">
        <f>ROUND(3485710.07,2)</f>
        <v>3485710.07</v>
      </c>
    </row>
    <row r="276" spans="1:11" ht="25.5">
      <c r="A276" s="2" t="s">
        <v>598</v>
      </c>
      <c r="B276" s="3" t="s">
        <v>802</v>
      </c>
      <c r="C276" s="3" t="s">
        <v>995</v>
      </c>
      <c r="D276" s="4">
        <f>ROUND(56658660,2)</f>
        <v>56658660</v>
      </c>
      <c r="E276" s="4">
        <f>ROUND(13195600,2)</f>
        <v>13195600</v>
      </c>
      <c r="F276" s="4">
        <f>ROUND(50905600,2)</f>
        <v>50905600</v>
      </c>
      <c r="G276" s="4">
        <f>ROUND(18948660,2)</f>
        <v>18948660</v>
      </c>
      <c r="H276" s="4">
        <f>ROUND(35771957.86,2)</f>
        <v>35771957.86</v>
      </c>
      <c r="I276" s="4">
        <f>ROUND(8747128.91,2)</f>
        <v>8747128.91</v>
      </c>
      <c r="J276" s="4">
        <f>ROUND(34402856.14,2)</f>
        <v>34402856.14</v>
      </c>
      <c r="K276" s="4">
        <f>ROUND(10116230.63,2)</f>
        <v>10116230.63</v>
      </c>
    </row>
    <row r="277" spans="1:11" ht="25.5">
      <c r="A277" s="2" t="s">
        <v>106</v>
      </c>
      <c r="B277" s="3" t="s">
        <v>940</v>
      </c>
      <c r="C277" s="3" t="s">
        <v>114</v>
      </c>
      <c r="D277" s="4">
        <f>ROUND(48027865,2)</f>
        <v>48027865</v>
      </c>
      <c r="E277" s="4">
        <f>ROUND(13195600,2)</f>
        <v>13195600</v>
      </c>
      <c r="F277" s="4">
        <f>ROUND(44632200,2)</f>
        <v>44632200</v>
      </c>
      <c r="G277" s="4">
        <f>ROUND(16591265,2)</f>
        <v>16591265</v>
      </c>
      <c r="H277" s="4">
        <f>ROUND(28128244.73,2)</f>
        <v>28128244.73</v>
      </c>
      <c r="I277" s="4">
        <f>ROUND(8747128.91,2)</f>
        <v>8747128.91</v>
      </c>
      <c r="J277" s="4">
        <f>ROUND(29055766.07,2)</f>
        <v>29055766.07</v>
      </c>
      <c r="K277" s="4">
        <f>ROUND(7819607.57,2)</f>
        <v>7819607.57</v>
      </c>
    </row>
    <row r="278" spans="1:11" ht="51">
      <c r="A278" s="2" t="s">
        <v>647</v>
      </c>
      <c r="B278" s="3" t="s">
        <v>631</v>
      </c>
      <c r="C278" s="3" t="s">
        <v>933</v>
      </c>
      <c r="D278" s="4">
        <f>ROUND(37041800,2)</f>
        <v>37041800</v>
      </c>
      <c r="E278" s="4">
        <f aca="true" t="shared" si="44" ref="E278:E287">ROUND(0,2)</f>
        <v>0</v>
      </c>
      <c r="F278" s="4">
        <f>ROUND(27828400,2)</f>
        <v>27828400</v>
      </c>
      <c r="G278" s="4">
        <f>ROUND(9213400,2)</f>
        <v>9213400</v>
      </c>
      <c r="H278" s="4">
        <f>ROUND(23301959.1,2)</f>
        <v>23301959.1</v>
      </c>
      <c r="I278" s="4">
        <f aca="true" t="shared" si="45" ref="I278:I287">ROUND(0,2)</f>
        <v>0</v>
      </c>
      <c r="J278" s="4">
        <f>ROUND(17674889.51,2)</f>
        <v>17674889.51</v>
      </c>
      <c r="K278" s="4">
        <f>ROUND(5627069.59,2)</f>
        <v>5627069.59</v>
      </c>
    </row>
    <row r="279" spans="1:11" ht="25.5">
      <c r="A279" s="2" t="s">
        <v>75</v>
      </c>
      <c r="B279" s="3" t="s">
        <v>83</v>
      </c>
      <c r="C279" s="3" t="s">
        <v>227</v>
      </c>
      <c r="D279" s="4">
        <f>ROUND(28052600,2)</f>
        <v>28052600</v>
      </c>
      <c r="E279" s="4">
        <f t="shared" si="44"/>
        <v>0</v>
      </c>
      <c r="F279" s="4">
        <f>ROUND(21304400,2)</f>
        <v>21304400</v>
      </c>
      <c r="G279" s="4">
        <f>ROUND(6748200,2)</f>
        <v>6748200</v>
      </c>
      <c r="H279" s="4">
        <f>ROUND(18263049.28,2)</f>
        <v>18263049.28</v>
      </c>
      <c r="I279" s="4">
        <f t="shared" si="45"/>
        <v>0</v>
      </c>
      <c r="J279" s="4">
        <f>ROUND(13869443.17,2)</f>
        <v>13869443.17</v>
      </c>
      <c r="K279" s="4">
        <f>ROUND(4393606.11,2)</f>
        <v>4393606.11</v>
      </c>
    </row>
    <row r="280" spans="1:11" ht="25.5">
      <c r="A280" s="2" t="s">
        <v>537</v>
      </c>
      <c r="B280" s="3" t="s">
        <v>796</v>
      </c>
      <c r="C280" s="3" t="s">
        <v>343</v>
      </c>
      <c r="D280" s="4">
        <f>ROUND(119200,2)</f>
        <v>119200</v>
      </c>
      <c r="E280" s="4">
        <f t="shared" si="44"/>
        <v>0</v>
      </c>
      <c r="F280" s="4">
        <f>ROUND(90000,2)</f>
        <v>90000</v>
      </c>
      <c r="G280" s="4">
        <f>ROUND(29200,2)</f>
        <v>29200</v>
      </c>
      <c r="H280" s="4">
        <f>ROUND(56000,2)</f>
        <v>56000</v>
      </c>
      <c r="I280" s="4">
        <f t="shared" si="45"/>
        <v>0</v>
      </c>
      <c r="J280" s="4">
        <f>ROUND(38700,2)</f>
        <v>38700</v>
      </c>
      <c r="K280" s="4">
        <f>ROUND(17300,2)</f>
        <v>17300</v>
      </c>
    </row>
    <row r="281" spans="1:11" ht="38.25">
      <c r="A281" s="2" t="s">
        <v>1080</v>
      </c>
      <c r="B281" s="3" t="s">
        <v>309</v>
      </c>
      <c r="C281" s="3" t="s">
        <v>144</v>
      </c>
      <c r="D281" s="4">
        <f>ROUND(8870000,2)</f>
        <v>8870000</v>
      </c>
      <c r="E281" s="4">
        <f t="shared" si="44"/>
        <v>0</v>
      </c>
      <c r="F281" s="4">
        <f>ROUND(6434000,2)</f>
        <v>6434000</v>
      </c>
      <c r="G281" s="4">
        <f>ROUND(2436000,2)</f>
        <v>2436000</v>
      </c>
      <c r="H281" s="4">
        <f>ROUND(4982909.82,2)</f>
        <v>4982909.82</v>
      </c>
      <c r="I281" s="4">
        <f t="shared" si="45"/>
        <v>0</v>
      </c>
      <c r="J281" s="4">
        <f>ROUND(3766746.34,2)</f>
        <v>3766746.34</v>
      </c>
      <c r="K281" s="4">
        <f>ROUND(1216163.48,2)</f>
        <v>1216163.48</v>
      </c>
    </row>
    <row r="282" spans="1:11" ht="25.5">
      <c r="A282" s="2" t="s">
        <v>451</v>
      </c>
      <c r="B282" s="3" t="s">
        <v>342</v>
      </c>
      <c r="C282" s="3" t="s">
        <v>286</v>
      </c>
      <c r="D282" s="4">
        <f>ROUND(10938060,2)</f>
        <v>10938060</v>
      </c>
      <c r="E282" s="4">
        <f t="shared" si="44"/>
        <v>0</v>
      </c>
      <c r="F282" s="4">
        <f>ROUND(3571100,2)</f>
        <v>3571100</v>
      </c>
      <c r="G282" s="4">
        <f>ROUND(7366960,2)</f>
        <v>7366960</v>
      </c>
      <c r="H282" s="4">
        <f>ROUND(4787673.86,2)</f>
        <v>4787673.86</v>
      </c>
      <c r="I282" s="4">
        <f t="shared" si="45"/>
        <v>0</v>
      </c>
      <c r="J282" s="4">
        <f>ROUND(2604510.96,2)</f>
        <v>2604510.96</v>
      </c>
      <c r="K282" s="4">
        <f>ROUND(2183162.9,2)</f>
        <v>2183162.9</v>
      </c>
    </row>
    <row r="283" spans="1:11" ht="25.5">
      <c r="A283" s="2" t="s">
        <v>967</v>
      </c>
      <c r="B283" s="3" t="s">
        <v>996</v>
      </c>
      <c r="C283" s="3" t="s">
        <v>736</v>
      </c>
      <c r="D283" s="4">
        <f>ROUND(134450,2)</f>
        <v>134450</v>
      </c>
      <c r="E283" s="4">
        <f t="shared" si="44"/>
        <v>0</v>
      </c>
      <c r="F283" s="4">
        <f>ROUND(110300,2)</f>
        <v>110300</v>
      </c>
      <c r="G283" s="4">
        <f>ROUND(24150,2)</f>
        <v>24150</v>
      </c>
      <c r="H283" s="4">
        <f>ROUND(116499.07,2)</f>
        <v>116499.07</v>
      </c>
      <c r="I283" s="4">
        <f t="shared" si="45"/>
        <v>0</v>
      </c>
      <c r="J283" s="4">
        <f>ROUND(93084.06,2)</f>
        <v>93084.06</v>
      </c>
      <c r="K283" s="4">
        <f>ROUND(23415.01,2)</f>
        <v>23415.01</v>
      </c>
    </row>
    <row r="284" spans="1:11" ht="25.5">
      <c r="A284" s="2" t="s">
        <v>507</v>
      </c>
      <c r="B284" s="3" t="s">
        <v>499</v>
      </c>
      <c r="C284" s="3" t="s">
        <v>531</v>
      </c>
      <c r="D284" s="4">
        <f>ROUND(23900,2)</f>
        <v>23900</v>
      </c>
      <c r="E284" s="4">
        <f t="shared" si="44"/>
        <v>0</v>
      </c>
      <c r="F284" s="4">
        <f>ROUND(5900,2)</f>
        <v>5900</v>
      </c>
      <c r="G284" s="4">
        <f>ROUND(18000,2)</f>
        <v>18000</v>
      </c>
      <c r="H284" s="4">
        <f>ROUND(3308.7,2)</f>
        <v>3308.7</v>
      </c>
      <c r="I284" s="4">
        <f t="shared" si="45"/>
        <v>0</v>
      </c>
      <c r="J284" s="4">
        <f>ROUND(3308.7,2)</f>
        <v>3308.7</v>
      </c>
      <c r="K284" s="4">
        <f>ROUND(0,2)</f>
        <v>0</v>
      </c>
    </row>
    <row r="285" spans="1:11" ht="25.5">
      <c r="A285" s="2" t="s">
        <v>1186</v>
      </c>
      <c r="B285" s="3" t="s">
        <v>1184</v>
      </c>
      <c r="C285" s="3" t="s">
        <v>1008</v>
      </c>
      <c r="D285" s="4">
        <f>ROUND(2943150,2)</f>
        <v>2943150</v>
      </c>
      <c r="E285" s="4">
        <f t="shared" si="44"/>
        <v>0</v>
      </c>
      <c r="F285" s="4">
        <f>ROUND(1959400,2)</f>
        <v>1959400</v>
      </c>
      <c r="G285" s="4">
        <f>ROUND(983750,2)</f>
        <v>983750</v>
      </c>
      <c r="H285" s="4">
        <f>ROUND(2355893.66,2)</f>
        <v>2355893.66</v>
      </c>
      <c r="I285" s="4">
        <f t="shared" si="45"/>
        <v>0</v>
      </c>
      <c r="J285" s="4">
        <f>ROUND(1779636.88,2)</f>
        <v>1779636.88</v>
      </c>
      <c r="K285" s="4">
        <f>ROUND(576256.78,2)</f>
        <v>576256.78</v>
      </c>
    </row>
    <row r="286" spans="1:11" ht="38.25">
      <c r="A286" s="2" t="s">
        <v>1001</v>
      </c>
      <c r="B286" s="3" t="s">
        <v>975</v>
      </c>
      <c r="C286" s="3" t="s">
        <v>815</v>
      </c>
      <c r="D286" s="4">
        <f>ROUND(7152860,2)</f>
        <v>7152860</v>
      </c>
      <c r="E286" s="4">
        <f t="shared" si="44"/>
        <v>0</v>
      </c>
      <c r="F286" s="4">
        <f>ROUND(959700,2)</f>
        <v>959700</v>
      </c>
      <c r="G286" s="4">
        <f>ROUND(6193160,2)</f>
        <v>6193160</v>
      </c>
      <c r="H286" s="4">
        <f>ROUND(1951897.45,2)</f>
        <v>1951897.45</v>
      </c>
      <c r="I286" s="4">
        <f t="shared" si="45"/>
        <v>0</v>
      </c>
      <c r="J286" s="4">
        <f>ROUND(477063.04,2)</f>
        <v>477063.04</v>
      </c>
      <c r="K286" s="4">
        <f>ROUND(1474834.41,2)</f>
        <v>1474834.41</v>
      </c>
    </row>
    <row r="287" spans="1:11" ht="25.5">
      <c r="A287" s="2" t="s">
        <v>318</v>
      </c>
      <c r="B287" s="3" t="s">
        <v>539</v>
      </c>
      <c r="C287" s="3" t="s">
        <v>867</v>
      </c>
      <c r="D287" s="4">
        <f>ROUND(683700,2)</f>
        <v>683700</v>
      </c>
      <c r="E287" s="4">
        <f t="shared" si="44"/>
        <v>0</v>
      </c>
      <c r="F287" s="4">
        <f>ROUND(535800,2)</f>
        <v>535800</v>
      </c>
      <c r="G287" s="4">
        <f>ROUND(147900,2)</f>
        <v>147900</v>
      </c>
      <c r="H287" s="4">
        <f>ROUND(360074.98,2)</f>
        <v>360074.98</v>
      </c>
      <c r="I287" s="4">
        <f t="shared" si="45"/>
        <v>0</v>
      </c>
      <c r="J287" s="4">
        <f>ROUND(251418.28,2)</f>
        <v>251418.28</v>
      </c>
      <c r="K287" s="4">
        <f>ROUND(108656.7,2)</f>
        <v>108656.7</v>
      </c>
    </row>
    <row r="288" spans="1:11" ht="38.25">
      <c r="A288" s="2" t="s">
        <v>900</v>
      </c>
      <c r="B288" s="3" t="s">
        <v>607</v>
      </c>
      <c r="C288" s="3" t="s">
        <v>258</v>
      </c>
      <c r="D288" s="4">
        <f>ROUND(0,2)</f>
        <v>0</v>
      </c>
      <c r="E288" s="4">
        <f>ROUND(13195600,2)</f>
        <v>13195600</v>
      </c>
      <c r="F288" s="4">
        <f>ROUND(13195600,2)</f>
        <v>13195600</v>
      </c>
      <c r="G288" s="4">
        <f>ROUND(0,2)</f>
        <v>0</v>
      </c>
      <c r="H288" s="4">
        <f>ROUND(0,2)</f>
        <v>0</v>
      </c>
      <c r="I288" s="4">
        <f>ROUND(8747128.91,2)</f>
        <v>8747128.91</v>
      </c>
      <c r="J288" s="4">
        <f>ROUND(8747128.91,2)</f>
        <v>8747128.91</v>
      </c>
      <c r="K288" s="4">
        <f>ROUND(0,2)</f>
        <v>0</v>
      </c>
    </row>
    <row r="289" spans="1:11" ht="76.5">
      <c r="A289" s="2" t="s">
        <v>32</v>
      </c>
      <c r="B289" s="3" t="s">
        <v>109</v>
      </c>
      <c r="C289" s="3" t="s">
        <v>1192</v>
      </c>
      <c r="D289" s="4">
        <f>ROUND(0,2)</f>
        <v>0</v>
      </c>
      <c r="E289" s="4">
        <f>ROUND(13195600,2)</f>
        <v>13195600</v>
      </c>
      <c r="F289" s="4">
        <f>ROUND(13195600,2)</f>
        <v>13195600</v>
      </c>
      <c r="G289" s="4">
        <f>ROUND(0,2)</f>
        <v>0</v>
      </c>
      <c r="H289" s="4">
        <f>ROUND(0,2)</f>
        <v>0</v>
      </c>
      <c r="I289" s="4">
        <f>ROUND(8747128.91,2)</f>
        <v>8747128.91</v>
      </c>
      <c r="J289" s="4">
        <f>ROUND(8747128.91,2)</f>
        <v>8747128.91</v>
      </c>
      <c r="K289" s="4">
        <f>ROUND(0,2)</f>
        <v>0</v>
      </c>
    </row>
    <row r="290" spans="1:11" ht="25.5">
      <c r="A290" s="2" t="s">
        <v>361</v>
      </c>
      <c r="B290" s="3" t="s">
        <v>671</v>
      </c>
      <c r="C290" s="3" t="s">
        <v>1114</v>
      </c>
      <c r="D290" s="4">
        <f>ROUND(48005,2)</f>
        <v>48005</v>
      </c>
      <c r="E290" s="4">
        <f>ROUND(0,2)</f>
        <v>0</v>
      </c>
      <c r="F290" s="4">
        <f>ROUND(37100,2)</f>
        <v>37100</v>
      </c>
      <c r="G290" s="4">
        <f>ROUND(10905,2)</f>
        <v>10905</v>
      </c>
      <c r="H290" s="4">
        <f>ROUND(38611.77,2)</f>
        <v>38611.77</v>
      </c>
      <c r="I290" s="4">
        <f>ROUND(0,2)</f>
        <v>0</v>
      </c>
      <c r="J290" s="4">
        <f>ROUND(29236.69,2)</f>
        <v>29236.69</v>
      </c>
      <c r="K290" s="4">
        <f>ROUND(9375.08,2)</f>
        <v>9375.08</v>
      </c>
    </row>
    <row r="291" spans="1:11" ht="38.25">
      <c r="A291" s="2" t="s">
        <v>1104</v>
      </c>
      <c r="B291" s="3" t="s">
        <v>1138</v>
      </c>
      <c r="C291" s="3" t="s">
        <v>926</v>
      </c>
      <c r="D291" s="4">
        <f>ROUND(8630795,2)</f>
        <v>8630795</v>
      </c>
      <c r="E291" s="4">
        <f>ROUND(0,2)</f>
        <v>0</v>
      </c>
      <c r="F291" s="4">
        <f>ROUND(6273400,2)</f>
        <v>6273400</v>
      </c>
      <c r="G291" s="4">
        <f>ROUND(2357395,2)</f>
        <v>2357395</v>
      </c>
      <c r="H291" s="4">
        <f>ROUND(7643713.13,2)</f>
        <v>7643713.13</v>
      </c>
      <c r="I291" s="4">
        <f>ROUND(0,2)</f>
        <v>0</v>
      </c>
      <c r="J291" s="4">
        <f>ROUND(5347090.07,2)</f>
        <v>5347090.07</v>
      </c>
      <c r="K291" s="4">
        <f>ROUND(2296623.06,2)</f>
        <v>2296623.06</v>
      </c>
    </row>
    <row r="292" spans="1:11" ht="38.25">
      <c r="A292" s="2" t="s">
        <v>588</v>
      </c>
      <c r="B292" s="3" t="s">
        <v>845</v>
      </c>
      <c r="C292" s="3" t="s">
        <v>1106</v>
      </c>
      <c r="D292" s="4">
        <f>ROUND(456550,2)</f>
        <v>456550</v>
      </c>
      <c r="E292" s="4">
        <f>ROUND(0,2)</f>
        <v>0</v>
      </c>
      <c r="F292" s="4">
        <f>ROUND(104000,2)</f>
        <v>104000</v>
      </c>
      <c r="G292" s="4">
        <f>ROUND(352550,2)</f>
        <v>352550</v>
      </c>
      <c r="H292" s="4">
        <f>ROUND(444233.91,2)</f>
        <v>444233.91</v>
      </c>
      <c r="I292" s="4">
        <f>ROUND(0,2)</f>
        <v>0</v>
      </c>
      <c r="J292" s="4">
        <f>ROUND(91695.81,2)</f>
        <v>91695.81</v>
      </c>
      <c r="K292" s="4">
        <f>ROUND(352538.1,2)</f>
        <v>352538.1</v>
      </c>
    </row>
    <row r="293" spans="1:11" ht="51">
      <c r="A293" s="2" t="s">
        <v>932</v>
      </c>
      <c r="B293" s="3" t="s">
        <v>1163</v>
      </c>
      <c r="C293" s="3" t="s">
        <v>873</v>
      </c>
      <c r="D293" s="4">
        <f>ROUND(8174245,2)</f>
        <v>8174245</v>
      </c>
      <c r="E293" s="4">
        <f>ROUND(0,2)</f>
        <v>0</v>
      </c>
      <c r="F293" s="4">
        <f>ROUND(6169400,2)</f>
        <v>6169400</v>
      </c>
      <c r="G293" s="4">
        <f>ROUND(2004845,2)</f>
        <v>2004845</v>
      </c>
      <c r="H293" s="4">
        <f>ROUND(7199479.22,2)</f>
        <v>7199479.22</v>
      </c>
      <c r="I293" s="4">
        <f>ROUND(0,2)</f>
        <v>0</v>
      </c>
      <c r="J293" s="4">
        <f>ROUND(5255394.26,2)</f>
        <v>5255394.26</v>
      </c>
      <c r="K293" s="4">
        <f>ROUND(1944084.96,2)</f>
        <v>1944084.96</v>
      </c>
    </row>
    <row r="294" spans="1:11" ht="25.5">
      <c r="A294" s="2" t="s">
        <v>178</v>
      </c>
      <c r="B294" s="3" t="s">
        <v>458</v>
      </c>
      <c r="C294" s="3" t="s">
        <v>493</v>
      </c>
      <c r="D294" s="4">
        <f>ROUND(219722192.34,2)</f>
        <v>219722192.34</v>
      </c>
      <c r="E294" s="4">
        <f>ROUND(30734790,2)</f>
        <v>30734790</v>
      </c>
      <c r="F294" s="4">
        <f>ROUND(219287192.34,2)</f>
        <v>219287192.34</v>
      </c>
      <c r="G294" s="4">
        <f>ROUND(31169790,2)</f>
        <v>31169790</v>
      </c>
      <c r="H294" s="4">
        <f>ROUND(143615894.33,2)</f>
        <v>143615894.33</v>
      </c>
      <c r="I294" s="4">
        <f>ROUND(20559885.46,2)</f>
        <v>20559885.46</v>
      </c>
      <c r="J294" s="4">
        <f>ROUND(143217866.81,2)</f>
        <v>143217866.81</v>
      </c>
      <c r="K294" s="4">
        <f>ROUND(20957912.98,2)</f>
        <v>20957912.98</v>
      </c>
    </row>
    <row r="295" spans="1:11" ht="25.5">
      <c r="A295" s="2" t="s">
        <v>743</v>
      </c>
      <c r="B295" s="3" t="s">
        <v>58</v>
      </c>
      <c r="C295" s="3" t="s">
        <v>114</v>
      </c>
      <c r="D295" s="4">
        <f>ROUND(193572466.17,2)</f>
        <v>193572466.17</v>
      </c>
      <c r="E295" s="4">
        <f>ROUND(30734790,2)</f>
        <v>30734790</v>
      </c>
      <c r="F295" s="4">
        <f>ROUND(197845311.17,2)</f>
        <v>197845311.17</v>
      </c>
      <c r="G295" s="4">
        <f>ROUND(26461945,2)</f>
        <v>26461945</v>
      </c>
      <c r="H295" s="4">
        <f>ROUND(124867951.42,2)</f>
        <v>124867951.42</v>
      </c>
      <c r="I295" s="4">
        <f>ROUND(20559885.46,2)</f>
        <v>20559885.46</v>
      </c>
      <c r="J295" s="4">
        <f>ROUND(127493047.48,2)</f>
        <v>127493047.48</v>
      </c>
      <c r="K295" s="4">
        <f>ROUND(17934789.4,2)</f>
        <v>17934789.4</v>
      </c>
    </row>
    <row r="296" spans="1:11" ht="51">
      <c r="A296" s="2" t="s">
        <v>51</v>
      </c>
      <c r="B296" s="3" t="s">
        <v>381</v>
      </c>
      <c r="C296" s="3" t="s">
        <v>933</v>
      </c>
      <c r="D296" s="4">
        <f>ROUND(159295700,2)</f>
        <v>159295700</v>
      </c>
      <c r="E296" s="4">
        <f aca="true" t="shared" si="46" ref="E296:E305">ROUND(0,2)</f>
        <v>0</v>
      </c>
      <c r="F296" s="4">
        <f>ROUND(137615448,2)</f>
        <v>137615448</v>
      </c>
      <c r="G296" s="4">
        <f>ROUND(21680252,2)</f>
        <v>21680252</v>
      </c>
      <c r="H296" s="4">
        <f>ROUND(101657604.1,2)</f>
        <v>101657604.1</v>
      </c>
      <c r="I296" s="4">
        <f aca="true" t="shared" si="47" ref="I296:I305">ROUND(0,2)</f>
        <v>0</v>
      </c>
      <c r="J296" s="4">
        <f>ROUND(87038948.39,2)</f>
        <v>87038948.39</v>
      </c>
      <c r="K296" s="4">
        <f>ROUND(14618655.71,2)</f>
        <v>14618655.71</v>
      </c>
    </row>
    <row r="297" spans="1:11" ht="25.5">
      <c r="A297" s="2" t="s">
        <v>793</v>
      </c>
      <c r="B297" s="3" t="s">
        <v>1028</v>
      </c>
      <c r="C297" s="3" t="s">
        <v>227</v>
      </c>
      <c r="D297" s="4">
        <f>ROUND(121922700,2)</f>
        <v>121922700</v>
      </c>
      <c r="E297" s="4">
        <f t="shared" si="46"/>
        <v>0</v>
      </c>
      <c r="F297" s="4">
        <f>ROUND(105318820,2)</f>
        <v>105318820</v>
      </c>
      <c r="G297" s="4">
        <f>ROUND(16603880,2)</f>
        <v>16603880</v>
      </c>
      <c r="H297" s="4">
        <f>ROUND(78197912.96,2)</f>
        <v>78197912.96</v>
      </c>
      <c r="I297" s="4">
        <f t="shared" si="47"/>
        <v>0</v>
      </c>
      <c r="J297" s="4">
        <f>ROUND(66953270.87,2)</f>
        <v>66953270.87</v>
      </c>
      <c r="K297" s="4">
        <f>ROUND(11244642.09,2)</f>
        <v>11244642.09</v>
      </c>
    </row>
    <row r="298" spans="1:11" ht="25.5">
      <c r="A298" s="2" t="s">
        <v>297</v>
      </c>
      <c r="B298" s="3" t="s">
        <v>471</v>
      </c>
      <c r="C298" s="3" t="s">
        <v>343</v>
      </c>
      <c r="D298" s="4">
        <f>ROUND(552800,2)</f>
        <v>552800</v>
      </c>
      <c r="E298" s="4">
        <f t="shared" si="46"/>
        <v>0</v>
      </c>
      <c r="F298" s="4">
        <f>ROUND(490800,2)</f>
        <v>490800</v>
      </c>
      <c r="G298" s="4">
        <f>ROUND(62000,2)</f>
        <v>62000</v>
      </c>
      <c r="H298" s="4">
        <f>ROUND(324100,2)</f>
        <v>324100</v>
      </c>
      <c r="I298" s="4">
        <f t="shared" si="47"/>
        <v>0</v>
      </c>
      <c r="J298" s="4">
        <f>ROUND(280400,2)</f>
        <v>280400</v>
      </c>
      <c r="K298" s="4">
        <f>ROUND(43700,2)</f>
        <v>43700</v>
      </c>
    </row>
    <row r="299" spans="1:11" ht="38.25">
      <c r="A299" s="2" t="s">
        <v>626</v>
      </c>
      <c r="B299" s="3" t="s">
        <v>1156</v>
      </c>
      <c r="C299" s="3" t="s">
        <v>144</v>
      </c>
      <c r="D299" s="4">
        <f>ROUND(36820200,2)</f>
        <v>36820200</v>
      </c>
      <c r="E299" s="4">
        <f t="shared" si="46"/>
        <v>0</v>
      </c>
      <c r="F299" s="4">
        <f>ROUND(31805828,2)</f>
        <v>31805828</v>
      </c>
      <c r="G299" s="4">
        <f>ROUND(5014372,2)</f>
        <v>5014372</v>
      </c>
      <c r="H299" s="4">
        <f>ROUND(23135591.14,2)</f>
        <v>23135591.14</v>
      </c>
      <c r="I299" s="4">
        <f t="shared" si="47"/>
        <v>0</v>
      </c>
      <c r="J299" s="4">
        <f>ROUND(19805277.52,2)</f>
        <v>19805277.52</v>
      </c>
      <c r="K299" s="4">
        <f>ROUND(3330313.62,2)</f>
        <v>3330313.62</v>
      </c>
    </row>
    <row r="300" spans="1:11" ht="25.5">
      <c r="A300" s="2" t="s">
        <v>80</v>
      </c>
      <c r="B300" s="3" t="s">
        <v>665</v>
      </c>
      <c r="C300" s="3" t="s">
        <v>286</v>
      </c>
      <c r="D300" s="4">
        <f>ROUND(34017206.17,2)</f>
        <v>34017206.17</v>
      </c>
      <c r="E300" s="4">
        <f t="shared" si="46"/>
        <v>0</v>
      </c>
      <c r="F300" s="4">
        <f>ROUND(29264973.17,2)</f>
        <v>29264973.17</v>
      </c>
      <c r="G300" s="4">
        <f>ROUND(4752233,2)</f>
        <v>4752233</v>
      </c>
      <c r="H300" s="4">
        <f>ROUND(23060952.48,2)</f>
        <v>23060952.48</v>
      </c>
      <c r="I300" s="4">
        <f t="shared" si="47"/>
        <v>0</v>
      </c>
      <c r="J300" s="4">
        <f>ROUND(19772152.79,2)</f>
        <v>19772152.79</v>
      </c>
      <c r="K300" s="4">
        <f>ROUND(3288799.69,2)</f>
        <v>3288799.69</v>
      </c>
    </row>
    <row r="301" spans="1:11" ht="25.5">
      <c r="A301" s="2" t="s">
        <v>616</v>
      </c>
      <c r="B301" s="3" t="s">
        <v>125</v>
      </c>
      <c r="C301" s="3" t="s">
        <v>736</v>
      </c>
      <c r="D301" s="4">
        <f>ROUND(1246000,2)</f>
        <v>1246000</v>
      </c>
      <c r="E301" s="4">
        <f t="shared" si="46"/>
        <v>0</v>
      </c>
      <c r="F301" s="4">
        <f>ROUND(1133700,2)</f>
        <v>1133700</v>
      </c>
      <c r="G301" s="4">
        <f>ROUND(112300,2)</f>
        <v>112300</v>
      </c>
      <c r="H301" s="4">
        <f>ROUND(669484.24,2)</f>
        <v>669484.24</v>
      </c>
      <c r="I301" s="4">
        <f t="shared" si="47"/>
        <v>0</v>
      </c>
      <c r="J301" s="4">
        <f>ROUND(607581.48,2)</f>
        <v>607581.48</v>
      </c>
      <c r="K301" s="4">
        <f>ROUND(61902.76,2)</f>
        <v>61902.76</v>
      </c>
    </row>
    <row r="302" spans="1:11" ht="25.5">
      <c r="A302" s="2" t="s">
        <v>92</v>
      </c>
      <c r="B302" s="3" t="s">
        <v>758</v>
      </c>
      <c r="C302" s="3" t="s">
        <v>531</v>
      </c>
      <c r="D302" s="4">
        <f>ROUND(133945,2)</f>
        <v>133945</v>
      </c>
      <c r="E302" s="4">
        <f t="shared" si="46"/>
        <v>0</v>
      </c>
      <c r="F302" s="4">
        <f>ROUND(98300,2)</f>
        <v>98300</v>
      </c>
      <c r="G302" s="4">
        <f>ROUND(35645,2)</f>
        <v>35645</v>
      </c>
      <c r="H302" s="4">
        <f>ROUND(52304.16,2)</f>
        <v>52304.16</v>
      </c>
      <c r="I302" s="4">
        <f t="shared" si="47"/>
        <v>0</v>
      </c>
      <c r="J302" s="4">
        <f>ROUND(45659.16,2)</f>
        <v>45659.16</v>
      </c>
      <c r="K302" s="4">
        <f>ROUND(6645,2)</f>
        <v>6645</v>
      </c>
    </row>
    <row r="303" spans="1:11" ht="25.5">
      <c r="A303" s="2" t="s">
        <v>584</v>
      </c>
      <c r="B303" s="3" t="s">
        <v>259</v>
      </c>
      <c r="C303" s="3" t="s">
        <v>1008</v>
      </c>
      <c r="D303" s="4">
        <f>ROUND(14145157,2)</f>
        <v>14145157</v>
      </c>
      <c r="E303" s="4">
        <f t="shared" si="46"/>
        <v>0</v>
      </c>
      <c r="F303" s="4">
        <f>ROUND(11924957,2)</f>
        <v>11924957</v>
      </c>
      <c r="G303" s="4">
        <f>ROUND(2220200,2)</f>
        <v>2220200</v>
      </c>
      <c r="H303" s="4">
        <f>ROUND(10459657.49,2)</f>
        <v>10459657.49</v>
      </c>
      <c r="I303" s="4">
        <f t="shared" si="47"/>
        <v>0</v>
      </c>
      <c r="J303" s="4">
        <f>ROUND(8978744.13,2)</f>
        <v>8978744.13</v>
      </c>
      <c r="K303" s="4">
        <f>ROUND(1480913.36,2)</f>
        <v>1480913.36</v>
      </c>
    </row>
    <row r="304" spans="1:11" ht="38.25">
      <c r="A304" s="2" t="s">
        <v>403</v>
      </c>
      <c r="B304" s="3" t="s">
        <v>16</v>
      </c>
      <c r="C304" s="3" t="s">
        <v>815</v>
      </c>
      <c r="D304" s="4">
        <f>ROUND(12104656.01,2)</f>
        <v>12104656.01</v>
      </c>
      <c r="E304" s="4">
        <f t="shared" si="46"/>
        <v>0</v>
      </c>
      <c r="F304" s="4">
        <f>ROUND(10308538.01,2)</f>
        <v>10308538.01</v>
      </c>
      <c r="G304" s="4">
        <f>ROUND(1796118,2)</f>
        <v>1796118</v>
      </c>
      <c r="H304" s="4">
        <f>ROUND(7572756.98,2)</f>
        <v>7572756.98</v>
      </c>
      <c r="I304" s="4">
        <f t="shared" si="47"/>
        <v>0</v>
      </c>
      <c r="J304" s="4">
        <f>ROUND(6250121.22,2)</f>
        <v>6250121.22</v>
      </c>
      <c r="K304" s="4">
        <f>ROUND(1322635.76,2)</f>
        <v>1322635.76</v>
      </c>
    </row>
    <row r="305" spans="1:11" ht="25.5">
      <c r="A305" s="2" t="s">
        <v>941</v>
      </c>
      <c r="B305" s="3" t="s">
        <v>883</v>
      </c>
      <c r="C305" s="3" t="s">
        <v>867</v>
      </c>
      <c r="D305" s="4">
        <f>ROUND(6387448.16,2)</f>
        <v>6387448.16</v>
      </c>
      <c r="E305" s="4">
        <f t="shared" si="46"/>
        <v>0</v>
      </c>
      <c r="F305" s="4">
        <f>ROUND(5799478.16,2)</f>
        <v>5799478.16</v>
      </c>
      <c r="G305" s="4">
        <f>ROUND(587970,2)</f>
        <v>587970</v>
      </c>
      <c r="H305" s="4">
        <f>ROUND(4306749.61,2)</f>
        <v>4306749.61</v>
      </c>
      <c r="I305" s="4">
        <f t="shared" si="47"/>
        <v>0</v>
      </c>
      <c r="J305" s="4">
        <f>ROUND(3890046.8,2)</f>
        <v>3890046.8</v>
      </c>
      <c r="K305" s="4">
        <f>ROUND(416702.81,2)</f>
        <v>416702.81</v>
      </c>
    </row>
    <row r="306" spans="1:11" ht="38.25">
      <c r="A306" s="2" t="s">
        <v>305</v>
      </c>
      <c r="B306" s="3" t="s">
        <v>369</v>
      </c>
      <c r="C306" s="3" t="s">
        <v>258</v>
      </c>
      <c r="D306" s="4">
        <f>ROUND(0,2)</f>
        <v>0</v>
      </c>
      <c r="E306" s="4">
        <f>ROUND(30734790,2)</f>
        <v>30734790</v>
      </c>
      <c r="F306" s="4">
        <f>ROUND(30734790,2)</f>
        <v>30734790</v>
      </c>
      <c r="G306" s="4">
        <f>ROUND(0,2)</f>
        <v>0</v>
      </c>
      <c r="H306" s="4">
        <f>ROUND(0,2)</f>
        <v>0</v>
      </c>
      <c r="I306" s="4">
        <f>ROUND(20559885.46,2)</f>
        <v>20559885.46</v>
      </c>
      <c r="J306" s="4">
        <f>ROUND(20559885.46,2)</f>
        <v>20559885.46</v>
      </c>
      <c r="K306" s="4">
        <f>ROUND(0,2)</f>
        <v>0</v>
      </c>
    </row>
    <row r="307" spans="1:11" ht="76.5">
      <c r="A307" s="2" t="s">
        <v>797</v>
      </c>
      <c r="B307" s="3" t="s">
        <v>1050</v>
      </c>
      <c r="C307" s="3" t="s">
        <v>1192</v>
      </c>
      <c r="D307" s="4">
        <f>ROUND(0,2)</f>
        <v>0</v>
      </c>
      <c r="E307" s="4">
        <f>ROUND(30734790,2)</f>
        <v>30734790</v>
      </c>
      <c r="F307" s="4">
        <f>ROUND(30734790,2)</f>
        <v>30734790</v>
      </c>
      <c r="G307" s="4">
        <f>ROUND(0,2)</f>
        <v>0</v>
      </c>
      <c r="H307" s="4">
        <f>ROUND(0,2)</f>
        <v>0</v>
      </c>
      <c r="I307" s="4">
        <f>ROUND(20559885.46,2)</f>
        <v>20559885.46</v>
      </c>
      <c r="J307" s="4">
        <f>ROUND(20559885.46,2)</f>
        <v>20559885.46</v>
      </c>
      <c r="K307" s="4">
        <f>ROUND(0,2)</f>
        <v>0</v>
      </c>
    </row>
    <row r="308" spans="1:11" ht="25.5">
      <c r="A308" s="2" t="s">
        <v>54</v>
      </c>
      <c r="B308" s="3" t="s">
        <v>344</v>
      </c>
      <c r="C308" s="3" t="s">
        <v>1114</v>
      </c>
      <c r="D308" s="4">
        <f>ROUND(259560,2)</f>
        <v>259560</v>
      </c>
      <c r="E308" s="4">
        <f>ROUND(0,2)</f>
        <v>0</v>
      </c>
      <c r="F308" s="4">
        <f>ROUND(230100,2)</f>
        <v>230100</v>
      </c>
      <c r="G308" s="4">
        <f>ROUND(29460,2)</f>
        <v>29460</v>
      </c>
      <c r="H308" s="4">
        <f>ROUND(149394.84,2)</f>
        <v>149394.84</v>
      </c>
      <c r="I308" s="4">
        <f>ROUND(0,2)</f>
        <v>0</v>
      </c>
      <c r="J308" s="4">
        <f>ROUND(122060.84,2)</f>
        <v>122060.84</v>
      </c>
      <c r="K308" s="4">
        <f>ROUND(27334,2)</f>
        <v>27334</v>
      </c>
    </row>
    <row r="309" spans="1:11" ht="38.25">
      <c r="A309" s="2" t="s">
        <v>738</v>
      </c>
      <c r="B309" s="3" t="s">
        <v>273</v>
      </c>
      <c r="C309" s="3" t="s">
        <v>926</v>
      </c>
      <c r="D309" s="4">
        <f>ROUND(26149726.17,2)</f>
        <v>26149726.17</v>
      </c>
      <c r="E309" s="4">
        <f>ROUND(0,2)</f>
        <v>0</v>
      </c>
      <c r="F309" s="4">
        <f>ROUND(21441881.17,2)</f>
        <v>21441881.17</v>
      </c>
      <c r="G309" s="4">
        <f>ROUND(4707845,2)</f>
        <v>4707845</v>
      </c>
      <c r="H309" s="4">
        <f>ROUND(18747942.91,2)</f>
        <v>18747942.91</v>
      </c>
      <c r="I309" s="4">
        <f>ROUND(0,2)</f>
        <v>0</v>
      </c>
      <c r="J309" s="4">
        <f>ROUND(15724819.33,2)</f>
        <v>15724819.33</v>
      </c>
      <c r="K309" s="4">
        <f>ROUND(3023123.58,2)</f>
        <v>3023123.58</v>
      </c>
    </row>
    <row r="310" spans="1:11" ht="38.25">
      <c r="A310" s="2" t="s">
        <v>1039</v>
      </c>
      <c r="B310" s="3" t="s">
        <v>567</v>
      </c>
      <c r="C310" s="3" t="s">
        <v>1106</v>
      </c>
      <c r="D310" s="4">
        <f>ROUND(10238074.83,2)</f>
        <v>10238074.83</v>
      </c>
      <c r="E310" s="4">
        <f>ROUND(0,2)</f>
        <v>0</v>
      </c>
      <c r="F310" s="4">
        <f>ROUND(8403574.83,2)</f>
        <v>8403574.83</v>
      </c>
      <c r="G310" s="4">
        <f>ROUND(1834500,2)</f>
        <v>1834500</v>
      </c>
      <c r="H310" s="4">
        <f>ROUND(9258355.5,2)</f>
        <v>9258355.5</v>
      </c>
      <c r="I310" s="4">
        <f>ROUND(0,2)</f>
        <v>0</v>
      </c>
      <c r="J310" s="4">
        <f>ROUND(7555185.03,2)</f>
        <v>7555185.03</v>
      </c>
      <c r="K310" s="4">
        <f>ROUND(1703170.47,2)</f>
        <v>1703170.47</v>
      </c>
    </row>
    <row r="311" spans="1:11" ht="51">
      <c r="A311" s="2" t="s">
        <v>463</v>
      </c>
      <c r="B311" s="3" t="s">
        <v>291</v>
      </c>
      <c r="C311" s="3" t="s">
        <v>873</v>
      </c>
      <c r="D311" s="4">
        <f>ROUND(15911651.34,2)</f>
        <v>15911651.34</v>
      </c>
      <c r="E311" s="4">
        <f>ROUND(0,2)</f>
        <v>0</v>
      </c>
      <c r="F311" s="4">
        <f>ROUND(13038306.34,2)</f>
        <v>13038306.34</v>
      </c>
      <c r="G311" s="4">
        <f>ROUND(2873345,2)</f>
        <v>2873345</v>
      </c>
      <c r="H311" s="4">
        <f>ROUND(9489587.41,2)</f>
        <v>9489587.41</v>
      </c>
      <c r="I311" s="4">
        <f>ROUND(0,2)</f>
        <v>0</v>
      </c>
      <c r="J311" s="4">
        <f>ROUND(8169634.3,2)</f>
        <v>8169634.3</v>
      </c>
      <c r="K311" s="4">
        <f>ROUND(1319953.11,2)</f>
        <v>1319953.11</v>
      </c>
    </row>
    <row r="312" spans="1:11" ht="51">
      <c r="A312" s="2" t="s">
        <v>850</v>
      </c>
      <c r="B312" s="3" t="s">
        <v>591</v>
      </c>
      <c r="C312" s="3" t="s">
        <v>97</v>
      </c>
      <c r="D312" s="4">
        <f>ROUND(4058990,2)</f>
        <v>4058990</v>
      </c>
      <c r="E312" s="4">
        <f>ROUND(221672,2)</f>
        <v>221672</v>
      </c>
      <c r="F312" s="4">
        <f>ROUND(4058990,2)</f>
        <v>4058990</v>
      </c>
      <c r="G312" s="4">
        <f>ROUND(221672,2)</f>
        <v>221672</v>
      </c>
      <c r="H312" s="4">
        <f>ROUND(3680700,2)</f>
        <v>3680700</v>
      </c>
      <c r="I312" s="4">
        <f>ROUND(221672,2)</f>
        <v>221672</v>
      </c>
      <c r="J312" s="4">
        <f>ROUND(3680700,2)</f>
        <v>3680700</v>
      </c>
      <c r="K312" s="4">
        <f>ROUND(221672,2)</f>
        <v>221672</v>
      </c>
    </row>
    <row r="313" spans="1:11" ht="25.5">
      <c r="A313" s="2" t="s">
        <v>168</v>
      </c>
      <c r="B313" s="3" t="s">
        <v>72</v>
      </c>
      <c r="C313" s="3" t="s">
        <v>114</v>
      </c>
      <c r="D313" s="4">
        <f>ROUND(2917015,2)</f>
        <v>2917015</v>
      </c>
      <c r="E313" s="4">
        <f>ROUND(221672,2)</f>
        <v>221672</v>
      </c>
      <c r="F313" s="4">
        <f>ROUND(3138687,2)</f>
        <v>3138687</v>
      </c>
      <c r="G313" s="4">
        <f aca="true" t="shared" si="48" ref="G313:G319">ROUND(0,2)</f>
        <v>0</v>
      </c>
      <c r="H313" s="4">
        <f>ROUND(2538725,2)</f>
        <v>2538725</v>
      </c>
      <c r="I313" s="4">
        <f>ROUND(221672,2)</f>
        <v>221672</v>
      </c>
      <c r="J313" s="4">
        <f>ROUND(2760397,2)</f>
        <v>2760397</v>
      </c>
      <c r="K313" s="4">
        <f aca="true" t="shared" si="49" ref="K313:K319">ROUND(0,2)</f>
        <v>0</v>
      </c>
    </row>
    <row r="314" spans="1:11" ht="51">
      <c r="A314" s="2" t="s">
        <v>861</v>
      </c>
      <c r="B314" s="3" t="s">
        <v>387</v>
      </c>
      <c r="C314" s="3" t="s">
        <v>933</v>
      </c>
      <c r="D314" s="4">
        <f>ROUND(2196090,2)</f>
        <v>2196090</v>
      </c>
      <c r="E314" s="4">
        <f>ROUND(0,2)</f>
        <v>0</v>
      </c>
      <c r="F314" s="4">
        <f>ROUND(2196090,2)</f>
        <v>2196090</v>
      </c>
      <c r="G314" s="4">
        <f t="shared" si="48"/>
        <v>0</v>
      </c>
      <c r="H314" s="4">
        <f>ROUND(2195960,2)</f>
        <v>2195960</v>
      </c>
      <c r="I314" s="4">
        <f>ROUND(0,2)</f>
        <v>0</v>
      </c>
      <c r="J314" s="4">
        <f>ROUND(2195960,2)</f>
        <v>2195960</v>
      </c>
      <c r="K314" s="4">
        <f t="shared" si="49"/>
        <v>0</v>
      </c>
    </row>
    <row r="315" spans="1:11" ht="25.5">
      <c r="A315" s="2" t="s">
        <v>959</v>
      </c>
      <c r="B315" s="3" t="s">
        <v>576</v>
      </c>
      <c r="C315" s="3" t="s">
        <v>343</v>
      </c>
      <c r="D315" s="4">
        <f>ROUND(2196090,2)</f>
        <v>2196090</v>
      </c>
      <c r="E315" s="4">
        <f>ROUND(0,2)</f>
        <v>0</v>
      </c>
      <c r="F315" s="4">
        <f>ROUND(2196090,2)</f>
        <v>2196090</v>
      </c>
      <c r="G315" s="4">
        <f t="shared" si="48"/>
        <v>0</v>
      </c>
      <c r="H315" s="4">
        <f>ROUND(2195960,2)</f>
        <v>2195960</v>
      </c>
      <c r="I315" s="4">
        <f>ROUND(0,2)</f>
        <v>0</v>
      </c>
      <c r="J315" s="4">
        <f>ROUND(2195960,2)</f>
        <v>2195960</v>
      </c>
      <c r="K315" s="4">
        <f t="shared" si="49"/>
        <v>0</v>
      </c>
    </row>
    <row r="316" spans="1:11" ht="25.5">
      <c r="A316" s="2" t="s">
        <v>1112</v>
      </c>
      <c r="B316" s="3" t="s">
        <v>702</v>
      </c>
      <c r="C316" s="3" t="s">
        <v>286</v>
      </c>
      <c r="D316" s="4">
        <f>ROUND(720925,2)</f>
        <v>720925</v>
      </c>
      <c r="E316" s="4">
        <f>ROUND(0,2)</f>
        <v>0</v>
      </c>
      <c r="F316" s="4">
        <f>ROUND(720925,2)</f>
        <v>720925</v>
      </c>
      <c r="G316" s="4">
        <f t="shared" si="48"/>
        <v>0</v>
      </c>
      <c r="H316" s="4">
        <f>ROUND(342765,2)</f>
        <v>342765</v>
      </c>
      <c r="I316" s="4">
        <f>ROUND(0,2)</f>
        <v>0</v>
      </c>
      <c r="J316" s="4">
        <f>ROUND(342765,2)</f>
        <v>342765</v>
      </c>
      <c r="K316" s="4">
        <f t="shared" si="49"/>
        <v>0</v>
      </c>
    </row>
    <row r="317" spans="1:11" ht="25.5">
      <c r="A317" s="2" t="s">
        <v>1158</v>
      </c>
      <c r="B317" s="3" t="s">
        <v>779</v>
      </c>
      <c r="C317" s="3" t="s">
        <v>867</v>
      </c>
      <c r="D317" s="4">
        <f>ROUND(720925,2)</f>
        <v>720925</v>
      </c>
      <c r="E317" s="4">
        <f>ROUND(0,2)</f>
        <v>0</v>
      </c>
      <c r="F317" s="4">
        <f>ROUND(720925,2)</f>
        <v>720925</v>
      </c>
      <c r="G317" s="4">
        <f t="shared" si="48"/>
        <v>0</v>
      </c>
      <c r="H317" s="4">
        <f>ROUND(342765,2)</f>
        <v>342765</v>
      </c>
      <c r="I317" s="4">
        <f>ROUND(0,2)</f>
        <v>0</v>
      </c>
      <c r="J317" s="4">
        <f>ROUND(342765,2)</f>
        <v>342765</v>
      </c>
      <c r="K317" s="4">
        <f t="shared" si="49"/>
        <v>0</v>
      </c>
    </row>
    <row r="318" spans="1:11" ht="38.25">
      <c r="A318" s="2" t="s">
        <v>663</v>
      </c>
      <c r="B318" s="3" t="s">
        <v>415</v>
      </c>
      <c r="C318" s="3" t="s">
        <v>258</v>
      </c>
      <c r="D318" s="4">
        <f>ROUND(0,2)</f>
        <v>0</v>
      </c>
      <c r="E318" s="4">
        <f>ROUND(221672,2)</f>
        <v>221672</v>
      </c>
      <c r="F318" s="4">
        <f>ROUND(221672,2)</f>
        <v>221672</v>
      </c>
      <c r="G318" s="4">
        <f t="shared" si="48"/>
        <v>0</v>
      </c>
      <c r="H318" s="4">
        <f>ROUND(0,2)</f>
        <v>0</v>
      </c>
      <c r="I318" s="4">
        <f>ROUND(221672,2)</f>
        <v>221672</v>
      </c>
      <c r="J318" s="4">
        <f>ROUND(221672,2)</f>
        <v>221672</v>
      </c>
      <c r="K318" s="4">
        <f t="shared" si="49"/>
        <v>0</v>
      </c>
    </row>
    <row r="319" spans="1:11" ht="76.5">
      <c r="A319" s="2" t="s">
        <v>231</v>
      </c>
      <c r="B319" s="3" t="s">
        <v>929</v>
      </c>
      <c r="C319" s="3" t="s">
        <v>1192</v>
      </c>
      <c r="D319" s="4">
        <f>ROUND(0,2)</f>
        <v>0</v>
      </c>
      <c r="E319" s="4">
        <f>ROUND(221672,2)</f>
        <v>221672</v>
      </c>
      <c r="F319" s="4">
        <f>ROUND(221672,2)</f>
        <v>221672</v>
      </c>
      <c r="G319" s="4">
        <f t="shared" si="48"/>
        <v>0</v>
      </c>
      <c r="H319" s="4">
        <f>ROUND(0,2)</f>
        <v>0</v>
      </c>
      <c r="I319" s="4">
        <f>ROUND(221672,2)</f>
        <v>221672</v>
      </c>
      <c r="J319" s="4">
        <f>ROUND(221672,2)</f>
        <v>221672</v>
      </c>
      <c r="K319" s="4">
        <f t="shared" si="49"/>
        <v>0</v>
      </c>
    </row>
    <row r="320" spans="1:11" ht="38.25">
      <c r="A320" s="2" t="s">
        <v>448</v>
      </c>
      <c r="B320" s="3" t="s">
        <v>173</v>
      </c>
      <c r="C320" s="3" t="s">
        <v>926</v>
      </c>
      <c r="D320" s="4">
        <f>ROUND(1141975,2)</f>
        <v>1141975</v>
      </c>
      <c r="E320" s="4">
        <f aca="true" t="shared" si="50" ref="E320:E336">ROUND(0,2)</f>
        <v>0</v>
      </c>
      <c r="F320" s="4">
        <f>ROUND(920303,2)</f>
        <v>920303</v>
      </c>
      <c r="G320" s="4">
        <f>ROUND(221672,2)</f>
        <v>221672</v>
      </c>
      <c r="H320" s="4">
        <f>ROUND(1141975,2)</f>
        <v>1141975</v>
      </c>
      <c r="I320" s="4">
        <f aca="true" t="shared" si="51" ref="I320:I336">ROUND(0,2)</f>
        <v>0</v>
      </c>
      <c r="J320" s="4">
        <f>ROUND(920303,2)</f>
        <v>920303</v>
      </c>
      <c r="K320" s="4">
        <f>ROUND(221672,2)</f>
        <v>221672</v>
      </c>
    </row>
    <row r="321" spans="1:11" ht="51">
      <c r="A321" s="2" t="s">
        <v>563</v>
      </c>
      <c r="B321" s="3" t="s">
        <v>156</v>
      </c>
      <c r="C321" s="3" t="s">
        <v>873</v>
      </c>
      <c r="D321" s="4">
        <f>ROUND(1141975,2)</f>
        <v>1141975</v>
      </c>
      <c r="E321" s="4">
        <f t="shared" si="50"/>
        <v>0</v>
      </c>
      <c r="F321" s="4">
        <f>ROUND(920303,2)</f>
        <v>920303</v>
      </c>
      <c r="G321" s="4">
        <f>ROUND(221672,2)</f>
        <v>221672</v>
      </c>
      <c r="H321" s="4">
        <f>ROUND(1141975,2)</f>
        <v>1141975</v>
      </c>
      <c r="I321" s="4">
        <f t="shared" si="51"/>
        <v>0</v>
      </c>
      <c r="J321" s="4">
        <f>ROUND(920303,2)</f>
        <v>920303</v>
      </c>
      <c r="K321" s="4">
        <f>ROUND(221672,2)</f>
        <v>221672</v>
      </c>
    </row>
    <row r="322" spans="1:11" ht="38.25">
      <c r="A322" s="2" t="s">
        <v>924</v>
      </c>
      <c r="B322" s="3" t="s">
        <v>115</v>
      </c>
      <c r="C322" s="3" t="s">
        <v>821</v>
      </c>
      <c r="D322" s="4">
        <f>ROUND(136203684,2)</f>
        <v>136203684</v>
      </c>
      <c r="E322" s="4">
        <f t="shared" si="50"/>
        <v>0</v>
      </c>
      <c r="F322" s="4">
        <f>ROUND(134603684,2)</f>
        <v>134603684</v>
      </c>
      <c r="G322" s="4">
        <f>ROUND(1600000,2)</f>
        <v>1600000</v>
      </c>
      <c r="H322" s="4">
        <f>ROUND(26948061.29,2)</f>
        <v>26948061.29</v>
      </c>
      <c r="I322" s="4">
        <f t="shared" si="51"/>
        <v>0</v>
      </c>
      <c r="J322" s="4">
        <f>ROUND(26600118.29,2)</f>
        <v>26600118.29</v>
      </c>
      <c r="K322" s="4">
        <f>ROUND(347943,2)</f>
        <v>347943</v>
      </c>
    </row>
    <row r="323" spans="1:11" ht="25.5">
      <c r="A323" s="2" t="s">
        <v>428</v>
      </c>
      <c r="B323" s="3" t="s">
        <v>558</v>
      </c>
      <c r="C323" s="3" t="s">
        <v>114</v>
      </c>
      <c r="D323" s="4">
        <f>ROUND(16784800,2)</f>
        <v>16784800</v>
      </c>
      <c r="E323" s="4">
        <f t="shared" si="50"/>
        <v>0</v>
      </c>
      <c r="F323" s="4">
        <f>ROUND(16784800,2)</f>
        <v>16784800</v>
      </c>
      <c r="G323" s="4">
        <f aca="true" t="shared" si="52" ref="G323:G333">ROUND(0,2)</f>
        <v>0</v>
      </c>
      <c r="H323" s="4">
        <f>ROUND(9774200.48,2)</f>
        <v>9774200.48</v>
      </c>
      <c r="I323" s="4">
        <f t="shared" si="51"/>
        <v>0</v>
      </c>
      <c r="J323" s="4">
        <f>ROUND(9774200.48,2)</f>
        <v>9774200.48</v>
      </c>
      <c r="K323" s="4">
        <f aca="true" t="shared" si="53" ref="K323:K333">ROUND(0,2)</f>
        <v>0</v>
      </c>
    </row>
    <row r="324" spans="1:11" ht="51">
      <c r="A324" s="2" t="s">
        <v>950</v>
      </c>
      <c r="B324" s="3" t="s">
        <v>264</v>
      </c>
      <c r="C324" s="3" t="s">
        <v>933</v>
      </c>
      <c r="D324" s="4">
        <f>ROUND(12596700,2)</f>
        <v>12596700</v>
      </c>
      <c r="E324" s="4">
        <f t="shared" si="50"/>
        <v>0</v>
      </c>
      <c r="F324" s="4">
        <f>ROUND(12596700,2)</f>
        <v>12596700</v>
      </c>
      <c r="G324" s="4">
        <f t="shared" si="52"/>
        <v>0</v>
      </c>
      <c r="H324" s="4">
        <f>ROUND(7349229.06,2)</f>
        <v>7349229.06</v>
      </c>
      <c r="I324" s="4">
        <f t="shared" si="51"/>
        <v>0</v>
      </c>
      <c r="J324" s="4">
        <f>ROUND(7349229.06,2)</f>
        <v>7349229.06</v>
      </c>
      <c r="K324" s="4">
        <f t="shared" si="53"/>
        <v>0</v>
      </c>
    </row>
    <row r="325" spans="1:11" ht="25.5">
      <c r="A325" s="2" t="s">
        <v>389</v>
      </c>
      <c r="B325" s="3" t="s">
        <v>763</v>
      </c>
      <c r="C325" s="3" t="s">
        <v>227</v>
      </c>
      <c r="D325" s="4">
        <f>ROUND(9607000,2)</f>
        <v>9607000</v>
      </c>
      <c r="E325" s="4">
        <f t="shared" si="50"/>
        <v>0</v>
      </c>
      <c r="F325" s="4">
        <f>ROUND(9607000,2)</f>
        <v>9607000</v>
      </c>
      <c r="G325" s="4">
        <f t="shared" si="52"/>
        <v>0</v>
      </c>
      <c r="H325" s="4">
        <f>ROUND(5757887.33,2)</f>
        <v>5757887.33</v>
      </c>
      <c r="I325" s="4">
        <f t="shared" si="51"/>
        <v>0</v>
      </c>
      <c r="J325" s="4">
        <f>ROUND(5757887.33,2)</f>
        <v>5757887.33</v>
      </c>
      <c r="K325" s="4">
        <f t="shared" si="53"/>
        <v>0</v>
      </c>
    </row>
    <row r="326" spans="1:11" ht="38.25">
      <c r="A326" s="2" t="s">
        <v>765</v>
      </c>
      <c r="B326" s="3" t="s">
        <v>670</v>
      </c>
      <c r="C326" s="3" t="s">
        <v>144</v>
      </c>
      <c r="D326" s="4">
        <f>ROUND(2989700,2)</f>
        <v>2989700</v>
      </c>
      <c r="E326" s="4">
        <f t="shared" si="50"/>
        <v>0</v>
      </c>
      <c r="F326" s="4">
        <f>ROUND(2989700,2)</f>
        <v>2989700</v>
      </c>
      <c r="G326" s="4">
        <f t="shared" si="52"/>
        <v>0</v>
      </c>
      <c r="H326" s="4">
        <f>ROUND(1591341.73,2)</f>
        <v>1591341.73</v>
      </c>
      <c r="I326" s="4">
        <f t="shared" si="51"/>
        <v>0</v>
      </c>
      <c r="J326" s="4">
        <f>ROUND(1591341.73,2)</f>
        <v>1591341.73</v>
      </c>
      <c r="K326" s="4">
        <f t="shared" si="53"/>
        <v>0</v>
      </c>
    </row>
    <row r="327" spans="1:11" ht="25.5">
      <c r="A327" s="2" t="s">
        <v>135</v>
      </c>
      <c r="B327" s="3" t="s">
        <v>1143</v>
      </c>
      <c r="C327" s="3" t="s">
        <v>286</v>
      </c>
      <c r="D327" s="4">
        <f>ROUND(4137000,2)</f>
        <v>4137000</v>
      </c>
      <c r="E327" s="4">
        <f t="shared" si="50"/>
        <v>0</v>
      </c>
      <c r="F327" s="4">
        <f>ROUND(4137000,2)</f>
        <v>4137000</v>
      </c>
      <c r="G327" s="4">
        <f t="shared" si="52"/>
        <v>0</v>
      </c>
      <c r="H327" s="4">
        <f>ROUND(2386855.31,2)</f>
        <v>2386855.31</v>
      </c>
      <c r="I327" s="4">
        <f t="shared" si="51"/>
        <v>0</v>
      </c>
      <c r="J327" s="4">
        <f>ROUND(2386855.31,2)</f>
        <v>2386855.31</v>
      </c>
      <c r="K327" s="4">
        <f t="shared" si="53"/>
        <v>0</v>
      </c>
    </row>
    <row r="328" spans="1:11" ht="25.5">
      <c r="A328" s="2" t="s">
        <v>674</v>
      </c>
      <c r="B328" s="3" t="s">
        <v>466</v>
      </c>
      <c r="C328" s="3" t="s">
        <v>736</v>
      </c>
      <c r="D328" s="4">
        <f>ROUND(41000,2)</f>
        <v>41000</v>
      </c>
      <c r="E328" s="4">
        <f t="shared" si="50"/>
        <v>0</v>
      </c>
      <c r="F328" s="4">
        <f>ROUND(41000,2)</f>
        <v>41000</v>
      </c>
      <c r="G328" s="4">
        <f t="shared" si="52"/>
        <v>0</v>
      </c>
      <c r="H328" s="4">
        <f>ROUND(31403.55,2)</f>
        <v>31403.55</v>
      </c>
      <c r="I328" s="4">
        <f t="shared" si="51"/>
        <v>0</v>
      </c>
      <c r="J328" s="4">
        <f>ROUND(31403.55,2)</f>
        <v>31403.55</v>
      </c>
      <c r="K328" s="4">
        <f t="shared" si="53"/>
        <v>0</v>
      </c>
    </row>
    <row r="329" spans="1:11" ht="25.5">
      <c r="A329" s="2" t="s">
        <v>218</v>
      </c>
      <c r="B329" s="3" t="s">
        <v>1022</v>
      </c>
      <c r="C329" s="3" t="s">
        <v>531</v>
      </c>
      <c r="D329" s="4">
        <f>ROUND(31200,2)</f>
        <v>31200</v>
      </c>
      <c r="E329" s="4">
        <f t="shared" si="50"/>
        <v>0</v>
      </c>
      <c r="F329" s="4">
        <f>ROUND(31200,2)</f>
        <v>31200</v>
      </c>
      <c r="G329" s="4">
        <f t="shared" si="52"/>
        <v>0</v>
      </c>
      <c r="H329" s="4">
        <f>ROUND(26019.66,2)</f>
        <v>26019.66</v>
      </c>
      <c r="I329" s="4">
        <f t="shared" si="51"/>
        <v>0</v>
      </c>
      <c r="J329" s="4">
        <f>ROUND(26019.66,2)</f>
        <v>26019.66</v>
      </c>
      <c r="K329" s="4">
        <f t="shared" si="53"/>
        <v>0</v>
      </c>
    </row>
    <row r="330" spans="1:11" ht="25.5">
      <c r="A330" s="2" t="s">
        <v>880</v>
      </c>
      <c r="B330" s="3" t="s">
        <v>378</v>
      </c>
      <c r="C330" s="3" t="s">
        <v>1008</v>
      </c>
      <c r="D330" s="4">
        <f>ROUND(52000,2)</f>
        <v>52000</v>
      </c>
      <c r="E330" s="4">
        <f t="shared" si="50"/>
        <v>0</v>
      </c>
      <c r="F330" s="4">
        <f>ROUND(52000,2)</f>
        <v>52000</v>
      </c>
      <c r="G330" s="4">
        <f t="shared" si="52"/>
        <v>0</v>
      </c>
      <c r="H330" s="4">
        <f>ROUND(50680.25,2)</f>
        <v>50680.25</v>
      </c>
      <c r="I330" s="4">
        <f t="shared" si="51"/>
        <v>0</v>
      </c>
      <c r="J330" s="4">
        <f>ROUND(50680.25,2)</f>
        <v>50680.25</v>
      </c>
      <c r="K330" s="4">
        <f t="shared" si="53"/>
        <v>0</v>
      </c>
    </row>
    <row r="331" spans="1:11" ht="38.25">
      <c r="A331" s="2" t="s">
        <v>709</v>
      </c>
      <c r="B331" s="3" t="s">
        <v>574</v>
      </c>
      <c r="C331" s="3" t="s">
        <v>815</v>
      </c>
      <c r="D331" s="4">
        <f>ROUND(418000,2)</f>
        <v>418000</v>
      </c>
      <c r="E331" s="4">
        <f t="shared" si="50"/>
        <v>0</v>
      </c>
      <c r="F331" s="4">
        <f>ROUND(418000,2)</f>
        <v>418000</v>
      </c>
      <c r="G331" s="4">
        <f t="shared" si="52"/>
        <v>0</v>
      </c>
      <c r="H331" s="4">
        <f>ROUND(382914.64,2)</f>
        <v>382914.64</v>
      </c>
      <c r="I331" s="4">
        <f t="shared" si="51"/>
        <v>0</v>
      </c>
      <c r="J331" s="4">
        <f>ROUND(382914.64,2)</f>
        <v>382914.64</v>
      </c>
      <c r="K331" s="4">
        <f t="shared" si="53"/>
        <v>0</v>
      </c>
    </row>
    <row r="332" spans="1:11" ht="25.5">
      <c r="A332" s="2" t="s">
        <v>27</v>
      </c>
      <c r="B332" s="3" t="s">
        <v>922</v>
      </c>
      <c r="C332" s="3" t="s">
        <v>867</v>
      </c>
      <c r="D332" s="4">
        <f>ROUND(3594800,2)</f>
        <v>3594800</v>
      </c>
      <c r="E332" s="4">
        <f t="shared" si="50"/>
        <v>0</v>
      </c>
      <c r="F332" s="4">
        <f>ROUND(3594800,2)</f>
        <v>3594800</v>
      </c>
      <c r="G332" s="4">
        <f t="shared" si="52"/>
        <v>0</v>
      </c>
      <c r="H332" s="4">
        <f>ROUND(1895837.21,2)</f>
        <v>1895837.21</v>
      </c>
      <c r="I332" s="4">
        <f t="shared" si="51"/>
        <v>0</v>
      </c>
      <c r="J332" s="4">
        <f>ROUND(1895837.21,2)</f>
        <v>1895837.21</v>
      </c>
      <c r="K332" s="4">
        <f t="shared" si="53"/>
        <v>0</v>
      </c>
    </row>
    <row r="333" spans="1:11" ht="25.5">
      <c r="A333" s="2" t="s">
        <v>50</v>
      </c>
      <c r="B333" s="3" t="s">
        <v>306</v>
      </c>
      <c r="C333" s="3" t="s">
        <v>1114</v>
      </c>
      <c r="D333" s="4">
        <f>ROUND(51100,2)</f>
        <v>51100</v>
      </c>
      <c r="E333" s="4">
        <f t="shared" si="50"/>
        <v>0</v>
      </c>
      <c r="F333" s="4">
        <f>ROUND(51100,2)</f>
        <v>51100</v>
      </c>
      <c r="G333" s="4">
        <f t="shared" si="52"/>
        <v>0</v>
      </c>
      <c r="H333" s="4">
        <f>ROUND(38116.11,2)</f>
        <v>38116.11</v>
      </c>
      <c r="I333" s="4">
        <f t="shared" si="51"/>
        <v>0</v>
      </c>
      <c r="J333" s="4">
        <f>ROUND(38116.11,2)</f>
        <v>38116.11</v>
      </c>
      <c r="K333" s="4">
        <f t="shared" si="53"/>
        <v>0</v>
      </c>
    </row>
    <row r="334" spans="1:11" ht="38.25">
      <c r="A334" s="2" t="s">
        <v>792</v>
      </c>
      <c r="B334" s="3" t="s">
        <v>321</v>
      </c>
      <c r="C334" s="3" t="s">
        <v>926</v>
      </c>
      <c r="D334" s="4">
        <f>ROUND(119418884,2)</f>
        <v>119418884</v>
      </c>
      <c r="E334" s="4">
        <f t="shared" si="50"/>
        <v>0</v>
      </c>
      <c r="F334" s="4">
        <f>ROUND(117818884,2)</f>
        <v>117818884</v>
      </c>
      <c r="G334" s="4">
        <f>ROUND(1600000,2)</f>
        <v>1600000</v>
      </c>
      <c r="H334" s="4">
        <f>ROUND(17173860.81,2)</f>
        <v>17173860.81</v>
      </c>
      <c r="I334" s="4">
        <f t="shared" si="51"/>
        <v>0</v>
      </c>
      <c r="J334" s="4">
        <f>ROUND(16825917.81,2)</f>
        <v>16825917.81</v>
      </c>
      <c r="K334" s="4">
        <f>ROUND(347943,2)</f>
        <v>347943</v>
      </c>
    </row>
    <row r="335" spans="1:11" ht="38.25">
      <c r="A335" s="2" t="s">
        <v>302</v>
      </c>
      <c r="B335" s="3" t="s">
        <v>0</v>
      </c>
      <c r="C335" s="3" t="s">
        <v>1106</v>
      </c>
      <c r="D335" s="4">
        <f>ROUND(116646984,2)</f>
        <v>116646984</v>
      </c>
      <c r="E335" s="4">
        <f t="shared" si="50"/>
        <v>0</v>
      </c>
      <c r="F335" s="4">
        <f>ROUND(115046984,2)</f>
        <v>115046984</v>
      </c>
      <c r="G335" s="4">
        <f>ROUND(1600000,2)</f>
        <v>1600000</v>
      </c>
      <c r="H335" s="4">
        <f>ROUND(14732366.9,2)</f>
        <v>14732366.9</v>
      </c>
      <c r="I335" s="4">
        <f t="shared" si="51"/>
        <v>0</v>
      </c>
      <c r="J335" s="4">
        <f>ROUND(14384423.9,2)</f>
        <v>14384423.9</v>
      </c>
      <c r="K335" s="4">
        <f>ROUND(347943,2)</f>
        <v>347943</v>
      </c>
    </row>
    <row r="336" spans="1:11" ht="51">
      <c r="A336" s="2" t="s">
        <v>621</v>
      </c>
      <c r="B336" s="3" t="s">
        <v>336</v>
      </c>
      <c r="C336" s="3" t="s">
        <v>873</v>
      </c>
      <c r="D336" s="4">
        <f>ROUND(2771900,2)</f>
        <v>2771900</v>
      </c>
      <c r="E336" s="4">
        <f t="shared" si="50"/>
        <v>0</v>
      </c>
      <c r="F336" s="4">
        <f>ROUND(2771900,2)</f>
        <v>2771900</v>
      </c>
      <c r="G336" s="4">
        <f>ROUND(0,2)</f>
        <v>0</v>
      </c>
      <c r="H336" s="4">
        <f>ROUND(2441493.91,2)</f>
        <v>2441493.91</v>
      </c>
      <c r="I336" s="4">
        <f t="shared" si="51"/>
        <v>0</v>
      </c>
      <c r="J336" s="4">
        <f>ROUND(2441493.91,2)</f>
        <v>2441493.91</v>
      </c>
      <c r="K336" s="4">
        <f>ROUND(0,2)</f>
        <v>0</v>
      </c>
    </row>
    <row r="337" spans="1:11" ht="25.5">
      <c r="A337" s="2" t="s">
        <v>484</v>
      </c>
      <c r="B337" s="3" t="s">
        <v>811</v>
      </c>
      <c r="C337" s="3" t="s">
        <v>636</v>
      </c>
      <c r="D337" s="4">
        <f>ROUND(36239103.31,2)</f>
        <v>36239103.31</v>
      </c>
      <c r="E337" s="4">
        <f>ROUND(3038700,2)</f>
        <v>3038700</v>
      </c>
      <c r="F337" s="4">
        <f>ROUND(8740141,2)</f>
        <v>8740141</v>
      </c>
      <c r="G337" s="4">
        <f>ROUND(30537662.31,2)</f>
        <v>30537662.31</v>
      </c>
      <c r="H337" s="4">
        <f>ROUND(21395408.37,2)</f>
        <v>21395408.37</v>
      </c>
      <c r="I337" s="4">
        <f>ROUND(456200,2)</f>
        <v>456200</v>
      </c>
      <c r="J337" s="4">
        <f>ROUND(4658195.98,2)</f>
        <v>4658195.98</v>
      </c>
      <c r="K337" s="4">
        <f>ROUND(17193412.39,2)</f>
        <v>17193412.39</v>
      </c>
    </row>
    <row r="338" spans="1:11" ht="25.5">
      <c r="A338" s="2" t="s">
        <v>1046</v>
      </c>
      <c r="B338" s="3" t="s">
        <v>928</v>
      </c>
      <c r="C338" s="3" t="s">
        <v>114</v>
      </c>
      <c r="D338" s="4">
        <f>ROUND(30886523.31,2)</f>
        <v>30886523.31</v>
      </c>
      <c r="E338" s="4">
        <f>ROUND(3038700,2)</f>
        <v>3038700</v>
      </c>
      <c r="F338" s="4">
        <f>ROUND(8589933,2)</f>
        <v>8589933</v>
      </c>
      <c r="G338" s="4">
        <f>ROUND(25335290.31,2)</f>
        <v>25335290.31</v>
      </c>
      <c r="H338" s="4">
        <f>ROUND(19707479.85,2)</f>
        <v>19707479.85</v>
      </c>
      <c r="I338" s="4">
        <f>ROUND(456200,2)</f>
        <v>456200</v>
      </c>
      <c r="J338" s="4">
        <f>ROUND(4521105.56,2)</f>
        <v>4521105.56</v>
      </c>
      <c r="K338" s="4">
        <f>ROUND(15642574.29,2)</f>
        <v>15642574.29</v>
      </c>
    </row>
    <row r="339" spans="1:11" ht="51">
      <c r="A339" s="2" t="s">
        <v>360</v>
      </c>
      <c r="B339" s="3" t="s">
        <v>615</v>
      </c>
      <c r="C339" s="3" t="s">
        <v>933</v>
      </c>
      <c r="D339" s="4">
        <f>ROUND(19655697,2)</f>
        <v>19655697</v>
      </c>
      <c r="E339" s="4">
        <f aca="true" t="shared" si="54" ref="E339:E348">ROUND(0,2)</f>
        <v>0</v>
      </c>
      <c r="F339" s="4">
        <f>ROUND(2187397,2)</f>
        <v>2187397</v>
      </c>
      <c r="G339" s="4">
        <f>ROUND(17468300,2)</f>
        <v>17468300</v>
      </c>
      <c r="H339" s="4">
        <f>ROUND(12128729.44,2)</f>
        <v>12128729.44</v>
      </c>
      <c r="I339" s="4">
        <f aca="true" t="shared" si="55" ref="I339:I348">ROUND(0,2)</f>
        <v>0</v>
      </c>
      <c r="J339" s="4">
        <f>ROUND(1589425.46,2)</f>
        <v>1589425.46</v>
      </c>
      <c r="K339" s="4">
        <f>ROUND(10539303.98,2)</f>
        <v>10539303.98</v>
      </c>
    </row>
    <row r="340" spans="1:11" ht="25.5">
      <c r="A340" s="2" t="s">
        <v>1103</v>
      </c>
      <c r="B340" s="3" t="s">
        <v>91</v>
      </c>
      <c r="C340" s="3" t="s">
        <v>227</v>
      </c>
      <c r="D340" s="4">
        <f>ROUND(15137800,2)</f>
        <v>15137800</v>
      </c>
      <c r="E340" s="4">
        <f t="shared" si="54"/>
        <v>0</v>
      </c>
      <c r="F340" s="4">
        <f>ROUND(1724900,2)</f>
        <v>1724900</v>
      </c>
      <c r="G340" s="4">
        <f>ROUND(13412900,2)</f>
        <v>13412900</v>
      </c>
      <c r="H340" s="4">
        <f>ROUND(9398888.07,2)</f>
        <v>9398888.07</v>
      </c>
      <c r="I340" s="4">
        <f t="shared" si="55"/>
        <v>0</v>
      </c>
      <c r="J340" s="4">
        <f>ROUND(1245097.79,2)</f>
        <v>1245097.79</v>
      </c>
      <c r="K340" s="4">
        <f>ROUND(8153790.28,2)</f>
        <v>8153790.28</v>
      </c>
    </row>
    <row r="341" spans="1:11" ht="25.5">
      <c r="A341" s="2" t="s">
        <v>593</v>
      </c>
      <c r="B341" s="3" t="s">
        <v>830</v>
      </c>
      <c r="C341" s="3" t="s">
        <v>343</v>
      </c>
      <c r="D341" s="4">
        <f>ROUND(5000,2)</f>
        <v>5000</v>
      </c>
      <c r="E341" s="4">
        <f t="shared" si="54"/>
        <v>0</v>
      </c>
      <c r="F341" s="4">
        <f>ROUND(0,2)</f>
        <v>0</v>
      </c>
      <c r="G341" s="4">
        <f>ROUND(5000,2)</f>
        <v>5000</v>
      </c>
      <c r="H341" s="4">
        <f>ROUND(1600,2)</f>
        <v>1600</v>
      </c>
      <c r="I341" s="4">
        <f t="shared" si="55"/>
        <v>0</v>
      </c>
      <c r="J341" s="4">
        <f>ROUND(0,2)</f>
        <v>0</v>
      </c>
      <c r="K341" s="4">
        <f>ROUND(1600,2)</f>
        <v>1600</v>
      </c>
    </row>
    <row r="342" spans="1:11" ht="38.25">
      <c r="A342" s="2" t="s">
        <v>947</v>
      </c>
      <c r="B342" s="3" t="s">
        <v>272</v>
      </c>
      <c r="C342" s="3" t="s">
        <v>144</v>
      </c>
      <c r="D342" s="4">
        <f>ROUND(4512897,2)</f>
        <v>4512897</v>
      </c>
      <c r="E342" s="4">
        <f t="shared" si="54"/>
        <v>0</v>
      </c>
      <c r="F342" s="4">
        <f>ROUND(462497,2)</f>
        <v>462497</v>
      </c>
      <c r="G342" s="4">
        <f>ROUND(4050400,2)</f>
        <v>4050400</v>
      </c>
      <c r="H342" s="4">
        <f>ROUND(2728241.37,2)</f>
        <v>2728241.37</v>
      </c>
      <c r="I342" s="4">
        <f t="shared" si="55"/>
        <v>0</v>
      </c>
      <c r="J342" s="4">
        <f>ROUND(344327.67,2)</f>
        <v>344327.67</v>
      </c>
      <c r="K342" s="4">
        <f>ROUND(2383913.7,2)</f>
        <v>2383913.7</v>
      </c>
    </row>
    <row r="343" spans="1:11" ht="25.5">
      <c r="A343" s="2" t="s">
        <v>411</v>
      </c>
      <c r="B343" s="3" t="s">
        <v>314</v>
      </c>
      <c r="C343" s="3" t="s">
        <v>286</v>
      </c>
      <c r="D343" s="4">
        <f>ROUND(10706986.11,2)</f>
        <v>10706986.11</v>
      </c>
      <c r="E343" s="4">
        <f t="shared" si="54"/>
        <v>0</v>
      </c>
      <c r="F343" s="4">
        <f>ROUND(3340297.8,2)</f>
        <v>3340297.8</v>
      </c>
      <c r="G343" s="4">
        <f>ROUND(7366688.31,2)</f>
        <v>7366688.31</v>
      </c>
      <c r="H343" s="4">
        <f>ROUND(7078693.43,2)</f>
        <v>7078693.43</v>
      </c>
      <c r="I343" s="4">
        <f t="shared" si="55"/>
        <v>0</v>
      </c>
      <c r="J343" s="4">
        <f>ROUND(2453247.34,2)</f>
        <v>2453247.34</v>
      </c>
      <c r="K343" s="4">
        <f>ROUND(4625446.09,2)</f>
        <v>4625446.09</v>
      </c>
    </row>
    <row r="344" spans="1:11" ht="25.5">
      <c r="A344" s="2" t="s">
        <v>931</v>
      </c>
      <c r="B344" s="3" t="s">
        <v>1016</v>
      </c>
      <c r="C344" s="3" t="s">
        <v>736</v>
      </c>
      <c r="D344" s="4">
        <f>ROUND(179083.8,2)</f>
        <v>179083.8</v>
      </c>
      <c r="E344" s="4">
        <f t="shared" si="54"/>
        <v>0</v>
      </c>
      <c r="F344" s="4">
        <f>ROUND(46063.8,2)</f>
        <v>46063.8</v>
      </c>
      <c r="G344" s="4">
        <f>ROUND(133020,2)</f>
        <v>133020</v>
      </c>
      <c r="H344" s="4">
        <f>ROUND(119287.55,2)</f>
        <v>119287.55</v>
      </c>
      <c r="I344" s="4">
        <f t="shared" si="55"/>
        <v>0</v>
      </c>
      <c r="J344" s="4">
        <f>ROUND(15808.92,2)</f>
        <v>15808.92</v>
      </c>
      <c r="K344" s="4">
        <f>ROUND(103478.63,2)</f>
        <v>103478.63</v>
      </c>
    </row>
    <row r="345" spans="1:11" ht="25.5">
      <c r="A345" s="2" t="s">
        <v>416</v>
      </c>
      <c r="B345" s="3" t="s">
        <v>509</v>
      </c>
      <c r="C345" s="3" t="s">
        <v>531</v>
      </c>
      <c r="D345" s="4">
        <f>ROUND(30500,2)</f>
        <v>30500</v>
      </c>
      <c r="E345" s="4">
        <f t="shared" si="54"/>
        <v>0</v>
      </c>
      <c r="F345" s="4">
        <f>ROUND(2500,2)</f>
        <v>2500</v>
      </c>
      <c r="G345" s="4">
        <f>ROUND(28000,2)</f>
        <v>28000</v>
      </c>
      <c r="H345" s="4">
        <f>ROUND(12840,2)</f>
        <v>12840</v>
      </c>
      <c r="I345" s="4">
        <f t="shared" si="55"/>
        <v>0</v>
      </c>
      <c r="J345" s="4">
        <f>ROUND(0,2)</f>
        <v>0</v>
      </c>
      <c r="K345" s="4">
        <f>ROUND(12840,2)</f>
        <v>12840</v>
      </c>
    </row>
    <row r="346" spans="1:11" ht="25.5">
      <c r="A346" s="2" t="s">
        <v>402</v>
      </c>
      <c r="B346" s="3" t="s">
        <v>1177</v>
      </c>
      <c r="C346" s="3" t="s">
        <v>1008</v>
      </c>
      <c r="D346" s="4">
        <f>ROUND(4450131,2)</f>
        <v>4450131</v>
      </c>
      <c r="E346" s="4">
        <f t="shared" si="54"/>
        <v>0</v>
      </c>
      <c r="F346" s="4">
        <f>ROUND(1421917,2)</f>
        <v>1421917</v>
      </c>
      <c r="G346" s="4">
        <f>ROUND(3028214,2)</f>
        <v>3028214</v>
      </c>
      <c r="H346" s="4">
        <f>ROUND(1933611.43,2)</f>
        <v>1933611.43</v>
      </c>
      <c r="I346" s="4">
        <f t="shared" si="55"/>
        <v>0</v>
      </c>
      <c r="J346" s="4">
        <f>ROUND(898934.04,2)</f>
        <v>898934.04</v>
      </c>
      <c r="K346" s="4">
        <f>ROUND(1034677.39,2)</f>
        <v>1034677.39</v>
      </c>
    </row>
    <row r="347" spans="1:11" ht="38.25">
      <c r="A347" s="2" t="s">
        <v>583</v>
      </c>
      <c r="B347" s="3" t="s">
        <v>993</v>
      </c>
      <c r="C347" s="3" t="s">
        <v>815</v>
      </c>
      <c r="D347" s="4">
        <f>ROUND(2156159,2)</f>
        <v>2156159</v>
      </c>
      <c r="E347" s="4">
        <f t="shared" si="54"/>
        <v>0</v>
      </c>
      <c r="F347" s="4">
        <f>ROUND(196616,2)</f>
        <v>196616</v>
      </c>
      <c r="G347" s="4">
        <f>ROUND(1959543,2)</f>
        <v>1959543</v>
      </c>
      <c r="H347" s="4">
        <f>ROUND(1791172.93,2)</f>
        <v>1791172.93</v>
      </c>
      <c r="I347" s="4">
        <f t="shared" si="55"/>
        <v>0</v>
      </c>
      <c r="J347" s="4">
        <f>ROUND(174455,2)</f>
        <v>174455</v>
      </c>
      <c r="K347" s="4">
        <f>ROUND(1616717.93,2)</f>
        <v>1616717.93</v>
      </c>
    </row>
    <row r="348" spans="1:11" ht="25.5">
      <c r="A348" s="2" t="s">
        <v>1098</v>
      </c>
      <c r="B348" s="3" t="s">
        <v>552</v>
      </c>
      <c r="C348" s="3" t="s">
        <v>867</v>
      </c>
      <c r="D348" s="4">
        <f>ROUND(3891112.31,2)</f>
        <v>3891112.31</v>
      </c>
      <c r="E348" s="4">
        <f t="shared" si="54"/>
        <v>0</v>
      </c>
      <c r="F348" s="4">
        <f>ROUND(1673201,2)</f>
        <v>1673201</v>
      </c>
      <c r="G348" s="4">
        <f>ROUND(2217911.31,2)</f>
        <v>2217911.31</v>
      </c>
      <c r="H348" s="4">
        <f>ROUND(3221781.52,2)</f>
        <v>3221781.52</v>
      </c>
      <c r="I348" s="4">
        <f t="shared" si="55"/>
        <v>0</v>
      </c>
      <c r="J348" s="4">
        <f>ROUND(1364049.38,2)</f>
        <v>1364049.38</v>
      </c>
      <c r="K348" s="4">
        <f>ROUND(1857732.14,2)</f>
        <v>1857732.14</v>
      </c>
    </row>
    <row r="349" spans="1:11" ht="38.25">
      <c r="A349" s="2" t="s">
        <v>696</v>
      </c>
      <c r="B349" s="3" t="s">
        <v>645</v>
      </c>
      <c r="C349" s="3" t="s">
        <v>258</v>
      </c>
      <c r="D349" s="4">
        <f>ROUND(0,2)</f>
        <v>0</v>
      </c>
      <c r="E349" s="4">
        <f>ROUND(3038700,2)</f>
        <v>3038700</v>
      </c>
      <c r="F349" s="4">
        <f>ROUND(3038700,2)</f>
        <v>3038700</v>
      </c>
      <c r="G349" s="4">
        <f>ROUND(0,2)</f>
        <v>0</v>
      </c>
      <c r="H349" s="4">
        <f>ROUND(0,2)</f>
        <v>0</v>
      </c>
      <c r="I349" s="4">
        <f>ROUND(456200,2)</f>
        <v>456200</v>
      </c>
      <c r="J349" s="4">
        <f>ROUND(456200,2)</f>
        <v>456200</v>
      </c>
      <c r="K349" s="4">
        <f>ROUND(0,2)</f>
        <v>0</v>
      </c>
    </row>
    <row r="350" spans="1:11" ht="76.5">
      <c r="A350" s="2" t="s">
        <v>36</v>
      </c>
      <c r="B350" s="3" t="s">
        <v>71</v>
      </c>
      <c r="C350" s="3" t="s">
        <v>1192</v>
      </c>
      <c r="D350" s="4">
        <f>ROUND(0,2)</f>
        <v>0</v>
      </c>
      <c r="E350" s="4">
        <f>ROUND(3038700,2)</f>
        <v>3038700</v>
      </c>
      <c r="F350" s="4">
        <f>ROUND(3038700,2)</f>
        <v>3038700</v>
      </c>
      <c r="G350" s="4">
        <f>ROUND(0,2)</f>
        <v>0</v>
      </c>
      <c r="H350" s="4">
        <f>ROUND(0,2)</f>
        <v>0</v>
      </c>
      <c r="I350" s="4">
        <f>ROUND(456200,2)</f>
        <v>456200</v>
      </c>
      <c r="J350" s="4">
        <f>ROUND(456200,2)</f>
        <v>456200</v>
      </c>
      <c r="K350" s="4">
        <f>ROUND(0,2)</f>
        <v>0</v>
      </c>
    </row>
    <row r="351" spans="1:11" ht="25.5">
      <c r="A351" s="2" t="s">
        <v>769</v>
      </c>
      <c r="B351" s="3" t="s">
        <v>661</v>
      </c>
      <c r="C351" s="3" t="s">
        <v>1114</v>
      </c>
      <c r="D351" s="4">
        <f>ROUND(523840.2,2)</f>
        <v>523840.2</v>
      </c>
      <c r="E351" s="4">
        <f>ROUND(0,2)</f>
        <v>0</v>
      </c>
      <c r="F351" s="4">
        <f>ROUND(23538.2,2)</f>
        <v>23538.2</v>
      </c>
      <c r="G351" s="4">
        <f>ROUND(500302,2)</f>
        <v>500302</v>
      </c>
      <c r="H351" s="4">
        <f>ROUND(500056.98,2)</f>
        <v>500056.98</v>
      </c>
      <c r="I351" s="4">
        <f>ROUND(0,2)</f>
        <v>0</v>
      </c>
      <c r="J351" s="4">
        <f>ROUND(22232.76,2)</f>
        <v>22232.76</v>
      </c>
      <c r="K351" s="4">
        <f>ROUND(477824.22,2)</f>
        <v>477824.22</v>
      </c>
    </row>
    <row r="352" spans="1:11" ht="38.25">
      <c r="A352" s="2" t="s">
        <v>247</v>
      </c>
      <c r="B352" s="3" t="s">
        <v>1149</v>
      </c>
      <c r="C352" s="3" t="s">
        <v>926</v>
      </c>
      <c r="D352" s="4">
        <f>ROUND(5352580,2)</f>
        <v>5352580</v>
      </c>
      <c r="E352" s="4">
        <f>ROUND(0,2)</f>
        <v>0</v>
      </c>
      <c r="F352" s="4">
        <f>ROUND(150208,2)</f>
        <v>150208</v>
      </c>
      <c r="G352" s="4">
        <f>ROUND(5202372,2)</f>
        <v>5202372</v>
      </c>
      <c r="H352" s="4">
        <f>ROUND(1687928.52,2)</f>
        <v>1687928.52</v>
      </c>
      <c r="I352" s="4">
        <f>ROUND(0,2)</f>
        <v>0</v>
      </c>
      <c r="J352" s="4">
        <f>ROUND(137090.42,2)</f>
        <v>137090.42</v>
      </c>
      <c r="K352" s="4">
        <f>ROUND(1550838.1,2)</f>
        <v>1550838.1</v>
      </c>
    </row>
    <row r="353" spans="1:11" ht="38.25">
      <c r="A353" s="2" t="s">
        <v>998</v>
      </c>
      <c r="B353" s="3" t="s">
        <v>853</v>
      </c>
      <c r="C353" s="3" t="s">
        <v>1106</v>
      </c>
      <c r="D353" s="4">
        <f>ROUND(3884336,2)</f>
        <v>3884336</v>
      </c>
      <c r="E353" s="4">
        <f>ROUND(0,2)</f>
        <v>0</v>
      </c>
      <c r="F353" s="4">
        <f>ROUND(56800,2)</f>
        <v>56800</v>
      </c>
      <c r="G353" s="4">
        <f>ROUND(3827536,2)</f>
        <v>3827536</v>
      </c>
      <c r="H353" s="4">
        <f>ROUND(744363.39,2)</f>
        <v>744363.39</v>
      </c>
      <c r="I353" s="4">
        <f>ROUND(0,2)</f>
        <v>0</v>
      </c>
      <c r="J353" s="4">
        <f>ROUND(56769.62,2)</f>
        <v>56769.62</v>
      </c>
      <c r="K353" s="4">
        <f>ROUND(687593.77,2)</f>
        <v>687593.77</v>
      </c>
    </row>
    <row r="354" spans="1:11" ht="51">
      <c r="A354" s="2" t="s">
        <v>504</v>
      </c>
      <c r="B354" s="3" t="s">
        <v>1129</v>
      </c>
      <c r="C354" s="3" t="s">
        <v>873</v>
      </c>
      <c r="D354" s="4">
        <f>ROUND(1468244,2)</f>
        <v>1468244</v>
      </c>
      <c r="E354" s="4">
        <f>ROUND(0,2)</f>
        <v>0</v>
      </c>
      <c r="F354" s="4">
        <f>ROUND(93408,2)</f>
        <v>93408</v>
      </c>
      <c r="G354" s="4">
        <f>ROUND(1374836,2)</f>
        <v>1374836</v>
      </c>
      <c r="H354" s="4">
        <f>ROUND(943565.13,2)</f>
        <v>943565.13</v>
      </c>
      <c r="I354" s="4">
        <f>ROUND(0,2)</f>
        <v>0</v>
      </c>
      <c r="J354" s="4">
        <f>ROUND(80320.8,2)</f>
        <v>80320.8</v>
      </c>
      <c r="K354" s="4">
        <f>ROUND(863244.33,2)</f>
        <v>863244.33</v>
      </c>
    </row>
    <row r="355" spans="1:11" ht="25.5">
      <c r="A355" s="2" t="s">
        <v>1084</v>
      </c>
      <c r="B355" s="3" t="s">
        <v>1107</v>
      </c>
      <c r="C355" s="3" t="s">
        <v>1095</v>
      </c>
      <c r="D355" s="4">
        <f>ROUND(30174939,2)</f>
        <v>30174939</v>
      </c>
      <c r="E355" s="4">
        <f>ROUND(456200,2)</f>
        <v>456200</v>
      </c>
      <c r="F355" s="4">
        <f>ROUND(5003630,2)</f>
        <v>5003630</v>
      </c>
      <c r="G355" s="4">
        <f>ROUND(25627509,2)</f>
        <v>25627509</v>
      </c>
      <c r="H355" s="4">
        <f>ROUND(19046075.12,2)</f>
        <v>19046075.12</v>
      </c>
      <c r="I355" s="4">
        <f>ROUND(456200,2)</f>
        <v>456200</v>
      </c>
      <c r="J355" s="4">
        <f>ROUND(3757688.18,2)</f>
        <v>3757688.18</v>
      </c>
      <c r="K355" s="4">
        <f>ROUND(15744586.94,2)</f>
        <v>15744586.94</v>
      </c>
    </row>
    <row r="356" spans="1:11" ht="25.5">
      <c r="A356" s="2" t="s">
        <v>542</v>
      </c>
      <c r="B356" s="3" t="s">
        <v>623</v>
      </c>
      <c r="C356" s="3" t="s">
        <v>114</v>
      </c>
      <c r="D356" s="4">
        <f>ROUND(27419859,2)</f>
        <v>27419859</v>
      </c>
      <c r="E356" s="4">
        <f>ROUND(456200,2)</f>
        <v>456200</v>
      </c>
      <c r="F356" s="4">
        <f>ROUND(4853422,2)</f>
        <v>4853422</v>
      </c>
      <c r="G356" s="4">
        <f>ROUND(23022637,2)</f>
        <v>23022637</v>
      </c>
      <c r="H356" s="4">
        <f>ROUND(17358676.6,2)</f>
        <v>17358676.6</v>
      </c>
      <c r="I356" s="4">
        <f>ROUND(456200,2)</f>
        <v>456200</v>
      </c>
      <c r="J356" s="4">
        <f>ROUND(3620597.76,2)</f>
        <v>3620597.76</v>
      </c>
      <c r="K356" s="4">
        <f>ROUND(14194278.84,2)</f>
        <v>14194278.84</v>
      </c>
    </row>
    <row r="357" spans="1:11" ht="51">
      <c r="A357" s="2" t="s">
        <v>1072</v>
      </c>
      <c r="B357" s="3" t="s">
        <v>945</v>
      </c>
      <c r="C357" s="3" t="s">
        <v>933</v>
      </c>
      <c r="D357" s="4">
        <f>ROUND(17671697,2)</f>
        <v>17671697</v>
      </c>
      <c r="E357" s="4">
        <f aca="true" t="shared" si="56" ref="E357:E366">ROUND(0,2)</f>
        <v>0</v>
      </c>
      <c r="F357" s="4">
        <f>ROUND(2187397,2)</f>
        <v>2187397</v>
      </c>
      <c r="G357" s="4">
        <f>ROUND(15484300,2)</f>
        <v>15484300</v>
      </c>
      <c r="H357" s="4">
        <f>ROUND(10918410.13,2)</f>
        <v>10918410.13</v>
      </c>
      <c r="I357" s="4">
        <f aca="true" t="shared" si="57" ref="I357:I366">ROUND(0,2)</f>
        <v>0</v>
      </c>
      <c r="J357" s="4">
        <f>ROUND(1589425.46,2)</f>
        <v>1589425.46</v>
      </c>
      <c r="K357" s="4">
        <f>ROUND(9328984.67,2)</f>
        <v>9328984.67</v>
      </c>
    </row>
    <row r="358" spans="1:11" ht="25.5">
      <c r="A358" s="2" t="s">
        <v>550</v>
      </c>
      <c r="B358" s="3" t="s">
        <v>409</v>
      </c>
      <c r="C358" s="3" t="s">
        <v>227</v>
      </c>
      <c r="D358" s="4">
        <f>ROUND(13615800,2)</f>
        <v>13615800</v>
      </c>
      <c r="E358" s="4">
        <f t="shared" si="56"/>
        <v>0</v>
      </c>
      <c r="F358" s="4">
        <f>ROUND(1724900,2)</f>
        <v>1724900</v>
      </c>
      <c r="G358" s="4">
        <f>ROUND(11890900,2)</f>
        <v>11890900</v>
      </c>
      <c r="H358" s="4">
        <f>ROUND(8393279.07,2)</f>
        <v>8393279.07</v>
      </c>
      <c r="I358" s="4">
        <f t="shared" si="57"/>
        <v>0</v>
      </c>
      <c r="J358" s="4">
        <f>ROUND(1245097.79,2)</f>
        <v>1245097.79</v>
      </c>
      <c r="K358" s="4">
        <f>ROUND(7148181.28,2)</f>
        <v>7148181.28</v>
      </c>
    </row>
    <row r="359" spans="1:11" ht="25.5">
      <c r="A359" s="2" t="s">
        <v>111</v>
      </c>
      <c r="B359" s="3" t="s">
        <v>1101</v>
      </c>
      <c r="C359" s="3" t="s">
        <v>343</v>
      </c>
      <c r="D359" s="4">
        <f>ROUND(5000,2)</f>
        <v>5000</v>
      </c>
      <c r="E359" s="4">
        <f t="shared" si="56"/>
        <v>0</v>
      </c>
      <c r="F359" s="4">
        <f>ROUND(0,2)</f>
        <v>0</v>
      </c>
      <c r="G359" s="4">
        <f>ROUND(5000,2)</f>
        <v>5000</v>
      </c>
      <c r="H359" s="4">
        <f>ROUND(1600,2)</f>
        <v>1600</v>
      </c>
      <c r="I359" s="4">
        <f t="shared" si="57"/>
        <v>0</v>
      </c>
      <c r="J359" s="4">
        <f>ROUND(0,2)</f>
        <v>0</v>
      </c>
      <c r="K359" s="4">
        <f>ROUND(1600,2)</f>
        <v>1600</v>
      </c>
    </row>
    <row r="360" spans="1:11" ht="38.25">
      <c r="A360" s="2" t="s">
        <v>601</v>
      </c>
      <c r="B360" s="3" t="s">
        <v>586</v>
      </c>
      <c r="C360" s="3" t="s">
        <v>144</v>
      </c>
      <c r="D360" s="4">
        <f>ROUND(4050897,2)</f>
        <v>4050897</v>
      </c>
      <c r="E360" s="4">
        <f t="shared" si="56"/>
        <v>0</v>
      </c>
      <c r="F360" s="4">
        <f>ROUND(462497,2)</f>
        <v>462497</v>
      </c>
      <c r="G360" s="4">
        <f>ROUND(3588400,2)</f>
        <v>3588400</v>
      </c>
      <c r="H360" s="4">
        <f>ROUND(2523531.06,2)</f>
        <v>2523531.06</v>
      </c>
      <c r="I360" s="4">
        <f t="shared" si="57"/>
        <v>0</v>
      </c>
      <c r="J360" s="4">
        <f>ROUND(344327.67,2)</f>
        <v>344327.67</v>
      </c>
      <c r="K360" s="4">
        <f>ROUND(2179203.39,2)</f>
        <v>2179203.39</v>
      </c>
    </row>
    <row r="361" spans="1:11" ht="25.5">
      <c r="A361" s="2" t="s">
        <v>282</v>
      </c>
      <c r="B361" s="3" t="s">
        <v>30</v>
      </c>
      <c r="C361" s="3" t="s">
        <v>286</v>
      </c>
      <c r="D361" s="4">
        <f>ROUND(9224323.8,2)</f>
        <v>9224323.8</v>
      </c>
      <c r="E361" s="4">
        <f t="shared" si="56"/>
        <v>0</v>
      </c>
      <c r="F361" s="4">
        <f>ROUND(2186286.8,2)</f>
        <v>2186286.8</v>
      </c>
      <c r="G361" s="4">
        <f>ROUND(7038037,2)</f>
        <v>7038037</v>
      </c>
      <c r="H361" s="4">
        <f>ROUND(5940211.43,2)</f>
        <v>5940211.43</v>
      </c>
      <c r="I361" s="4">
        <f t="shared" si="57"/>
        <v>0</v>
      </c>
      <c r="J361" s="4">
        <f>ROUND(1552739.54,2)</f>
        <v>1552739.54</v>
      </c>
      <c r="K361" s="4">
        <f>ROUND(4387471.89,2)</f>
        <v>4387471.89</v>
      </c>
    </row>
    <row r="362" spans="1:11" ht="25.5">
      <c r="A362" s="2" t="s">
        <v>825</v>
      </c>
      <c r="B362" s="3" t="s">
        <v>692</v>
      </c>
      <c r="C362" s="3" t="s">
        <v>736</v>
      </c>
      <c r="D362" s="4">
        <f>ROUND(174083.8,2)</f>
        <v>174083.8</v>
      </c>
      <c r="E362" s="4">
        <f t="shared" si="56"/>
        <v>0</v>
      </c>
      <c r="F362" s="4">
        <f>ROUND(46063.8,2)</f>
        <v>46063.8</v>
      </c>
      <c r="G362" s="4">
        <f>ROUND(128020,2)</f>
        <v>128020</v>
      </c>
      <c r="H362" s="4">
        <f>ROUND(115232.07,2)</f>
        <v>115232.07</v>
      </c>
      <c r="I362" s="4">
        <f t="shared" si="57"/>
        <v>0</v>
      </c>
      <c r="J362" s="4">
        <f>ROUND(15808.92,2)</f>
        <v>15808.92</v>
      </c>
      <c r="K362" s="4">
        <f>ROUND(99423.15,2)</f>
        <v>99423.15</v>
      </c>
    </row>
    <row r="363" spans="1:11" ht="25.5">
      <c r="A363" s="2" t="s">
        <v>60</v>
      </c>
      <c r="B363" s="3" t="s">
        <v>187</v>
      </c>
      <c r="C363" s="3" t="s">
        <v>531</v>
      </c>
      <c r="D363" s="4">
        <f>ROUND(30500,2)</f>
        <v>30500</v>
      </c>
      <c r="E363" s="4">
        <f t="shared" si="56"/>
        <v>0</v>
      </c>
      <c r="F363" s="4">
        <f>ROUND(2500,2)</f>
        <v>2500</v>
      </c>
      <c r="G363" s="4">
        <f>ROUND(28000,2)</f>
        <v>28000</v>
      </c>
      <c r="H363" s="4">
        <f>ROUND(12840,2)</f>
        <v>12840</v>
      </c>
      <c r="I363" s="4">
        <f t="shared" si="57"/>
        <v>0</v>
      </c>
      <c r="J363" s="4">
        <f>ROUND(0,2)</f>
        <v>0</v>
      </c>
      <c r="K363" s="4">
        <f>ROUND(12840,2)</f>
        <v>12840</v>
      </c>
    </row>
    <row r="364" spans="1:11" ht="25.5">
      <c r="A364" s="2" t="s">
        <v>723</v>
      </c>
      <c r="B364" s="3" t="s">
        <v>899</v>
      </c>
      <c r="C364" s="3" t="s">
        <v>1008</v>
      </c>
      <c r="D364" s="4">
        <f>ROUND(4450131,2)</f>
        <v>4450131</v>
      </c>
      <c r="E364" s="4">
        <f t="shared" si="56"/>
        <v>0</v>
      </c>
      <c r="F364" s="4">
        <f>ROUND(1421917,2)</f>
        <v>1421917</v>
      </c>
      <c r="G364" s="4">
        <f>ROUND(3028214,2)</f>
        <v>3028214</v>
      </c>
      <c r="H364" s="4">
        <f>ROUND(1933611.43,2)</f>
        <v>1933611.43</v>
      </c>
      <c r="I364" s="4">
        <f t="shared" si="57"/>
        <v>0</v>
      </c>
      <c r="J364" s="4">
        <f>ROUND(898934.04,2)</f>
        <v>898934.04</v>
      </c>
      <c r="K364" s="4">
        <f>ROUND(1034677.39,2)</f>
        <v>1034677.39</v>
      </c>
    </row>
    <row r="365" spans="1:11" ht="38.25">
      <c r="A365" s="2" t="s">
        <v>855</v>
      </c>
      <c r="B365" s="3" t="s">
        <v>655</v>
      </c>
      <c r="C365" s="3" t="s">
        <v>815</v>
      </c>
      <c r="D365" s="4">
        <f>ROUND(2156159,2)</f>
        <v>2156159</v>
      </c>
      <c r="E365" s="4">
        <f t="shared" si="56"/>
        <v>0</v>
      </c>
      <c r="F365" s="4">
        <f>ROUND(196616,2)</f>
        <v>196616</v>
      </c>
      <c r="G365" s="4">
        <f>ROUND(1959543,2)</f>
        <v>1959543</v>
      </c>
      <c r="H365" s="4">
        <f>ROUND(1791172.93,2)</f>
        <v>1791172.93</v>
      </c>
      <c r="I365" s="4">
        <f t="shared" si="57"/>
        <v>0</v>
      </c>
      <c r="J365" s="4">
        <f>ROUND(174455,2)</f>
        <v>174455</v>
      </c>
      <c r="K365" s="4">
        <f>ROUND(1616717.93,2)</f>
        <v>1616717.93</v>
      </c>
    </row>
    <row r="366" spans="1:11" ht="25.5">
      <c r="A366" s="2" t="s">
        <v>167</v>
      </c>
      <c r="B366" s="3" t="s">
        <v>235</v>
      </c>
      <c r="C366" s="3" t="s">
        <v>867</v>
      </c>
      <c r="D366" s="4">
        <f>ROUND(2413450,2)</f>
        <v>2413450</v>
      </c>
      <c r="E366" s="4">
        <f t="shared" si="56"/>
        <v>0</v>
      </c>
      <c r="F366" s="4">
        <f>ROUND(519190,2)</f>
        <v>519190</v>
      </c>
      <c r="G366" s="4">
        <f>ROUND(1894260,2)</f>
        <v>1894260</v>
      </c>
      <c r="H366" s="4">
        <f>ROUND(2087355,2)</f>
        <v>2087355</v>
      </c>
      <c r="I366" s="4">
        <f t="shared" si="57"/>
        <v>0</v>
      </c>
      <c r="J366" s="4">
        <f>ROUND(463541.58,2)</f>
        <v>463541.58</v>
      </c>
      <c r="K366" s="4">
        <f>ROUND(1623813.42,2)</f>
        <v>1623813.42</v>
      </c>
    </row>
    <row r="367" spans="1:11" ht="38.25">
      <c r="A367" s="2" t="s">
        <v>1032</v>
      </c>
      <c r="B367" s="3" t="s">
        <v>921</v>
      </c>
      <c r="C367" s="3" t="s">
        <v>258</v>
      </c>
      <c r="D367" s="4">
        <f>ROUND(0,2)</f>
        <v>0</v>
      </c>
      <c r="E367" s="4">
        <f>ROUND(456200,2)</f>
        <v>456200</v>
      </c>
      <c r="F367" s="4">
        <f>ROUND(456200,2)</f>
        <v>456200</v>
      </c>
      <c r="G367" s="4">
        <f>ROUND(0,2)</f>
        <v>0</v>
      </c>
      <c r="H367" s="4">
        <f>ROUND(0,2)</f>
        <v>0</v>
      </c>
      <c r="I367" s="4">
        <f>ROUND(456200,2)</f>
        <v>456200</v>
      </c>
      <c r="J367" s="4">
        <f>ROUND(456200,2)</f>
        <v>456200</v>
      </c>
      <c r="K367" s="4">
        <f>ROUND(0,2)</f>
        <v>0</v>
      </c>
    </row>
    <row r="368" spans="1:11" ht="76.5">
      <c r="A368" s="2" t="s">
        <v>474</v>
      </c>
      <c r="B368" s="3" t="s">
        <v>427</v>
      </c>
      <c r="C368" s="3" t="s">
        <v>1192</v>
      </c>
      <c r="D368" s="4">
        <f>ROUND(0,2)</f>
        <v>0</v>
      </c>
      <c r="E368" s="4">
        <f>ROUND(456200,2)</f>
        <v>456200</v>
      </c>
      <c r="F368" s="4">
        <f>ROUND(456200,2)</f>
        <v>456200</v>
      </c>
      <c r="G368" s="4">
        <f>ROUND(0,2)</f>
        <v>0</v>
      </c>
      <c r="H368" s="4">
        <f>ROUND(0,2)</f>
        <v>0</v>
      </c>
      <c r="I368" s="4">
        <f>ROUND(456200,2)</f>
        <v>456200</v>
      </c>
      <c r="J368" s="4">
        <f>ROUND(456200,2)</f>
        <v>456200</v>
      </c>
      <c r="K368" s="4">
        <f>ROUND(0,2)</f>
        <v>0</v>
      </c>
    </row>
    <row r="369" spans="1:11" ht="25.5">
      <c r="A369" s="2" t="s">
        <v>223</v>
      </c>
      <c r="B369" s="3" t="s">
        <v>986</v>
      </c>
      <c r="C369" s="3" t="s">
        <v>1114</v>
      </c>
      <c r="D369" s="4">
        <f>ROUND(523838.2,2)</f>
        <v>523838.2</v>
      </c>
      <c r="E369" s="4">
        <f>ROUND(0,2)</f>
        <v>0</v>
      </c>
      <c r="F369" s="4">
        <f>ROUND(23538.2,2)</f>
        <v>23538.2</v>
      </c>
      <c r="G369" s="4">
        <f>ROUND(500300,2)</f>
        <v>500300</v>
      </c>
      <c r="H369" s="4">
        <f>ROUND(500055.04,2)</f>
        <v>500055.04</v>
      </c>
      <c r="I369" s="4">
        <f aca="true" t="shared" si="58" ref="I369:I400">ROUND(0,2)</f>
        <v>0</v>
      </c>
      <c r="J369" s="4">
        <f>ROUND(22232.76,2)</f>
        <v>22232.76</v>
      </c>
      <c r="K369" s="4">
        <f>ROUND(477822.28,2)</f>
        <v>477822.28</v>
      </c>
    </row>
    <row r="370" spans="1:11" ht="38.25">
      <c r="A370" s="2" t="s">
        <v>668</v>
      </c>
      <c r="B370" s="3" t="s">
        <v>847</v>
      </c>
      <c r="C370" s="3" t="s">
        <v>926</v>
      </c>
      <c r="D370" s="4">
        <f>ROUND(2755080,2)</f>
        <v>2755080</v>
      </c>
      <c r="E370" s="4">
        <f>ROUND(0,2)</f>
        <v>0</v>
      </c>
      <c r="F370" s="4">
        <f>ROUND(150208,2)</f>
        <v>150208</v>
      </c>
      <c r="G370" s="4">
        <f>ROUND(2604872,2)</f>
        <v>2604872</v>
      </c>
      <c r="H370" s="4">
        <f>ROUND(1687398.52,2)</f>
        <v>1687398.52</v>
      </c>
      <c r="I370" s="4">
        <f t="shared" si="58"/>
        <v>0</v>
      </c>
      <c r="J370" s="4">
        <f>ROUND(137090.42,2)</f>
        <v>137090.42</v>
      </c>
      <c r="K370" s="4">
        <f>ROUND(1550308.1,2)</f>
        <v>1550308.1</v>
      </c>
    </row>
    <row r="371" spans="1:11" ht="38.25">
      <c r="A371" s="2" t="s">
        <v>128</v>
      </c>
      <c r="B371" s="3" t="s">
        <v>1134</v>
      </c>
      <c r="C371" s="3" t="s">
        <v>1106</v>
      </c>
      <c r="D371" s="4">
        <f>ROUND(1301836,2)</f>
        <v>1301836</v>
      </c>
      <c r="E371" s="4">
        <f>ROUND(0,2)</f>
        <v>0</v>
      </c>
      <c r="F371" s="4">
        <f>ROUND(56800,2)</f>
        <v>56800</v>
      </c>
      <c r="G371" s="4">
        <f>ROUND(1245036,2)</f>
        <v>1245036</v>
      </c>
      <c r="H371" s="4">
        <f>ROUND(744363.39,2)</f>
        <v>744363.39</v>
      </c>
      <c r="I371" s="4">
        <f t="shared" si="58"/>
        <v>0</v>
      </c>
      <c r="J371" s="4">
        <f>ROUND(56769.62,2)</f>
        <v>56769.62</v>
      </c>
      <c r="K371" s="4">
        <f>ROUND(687593.77,2)</f>
        <v>687593.77</v>
      </c>
    </row>
    <row r="372" spans="1:11" ht="51">
      <c r="A372" s="2" t="s">
        <v>786</v>
      </c>
      <c r="B372" s="3" t="s">
        <v>874</v>
      </c>
      <c r="C372" s="3" t="s">
        <v>873</v>
      </c>
      <c r="D372" s="4">
        <f>ROUND(1453244,2)</f>
        <v>1453244</v>
      </c>
      <c r="E372" s="4">
        <f>ROUND(0,2)</f>
        <v>0</v>
      </c>
      <c r="F372" s="4">
        <f>ROUND(93408,2)</f>
        <v>93408</v>
      </c>
      <c r="G372" s="4">
        <f>ROUND(1359836,2)</f>
        <v>1359836</v>
      </c>
      <c r="H372" s="4">
        <f>ROUND(943035.13,2)</f>
        <v>943035.13</v>
      </c>
      <c r="I372" s="4">
        <f t="shared" si="58"/>
        <v>0</v>
      </c>
      <c r="J372" s="4">
        <f>ROUND(80320.8,2)</f>
        <v>80320.8</v>
      </c>
      <c r="K372" s="4">
        <f>ROUND(862714.33,2)</f>
        <v>862714.33</v>
      </c>
    </row>
    <row r="373" spans="1:11" ht="38.25">
      <c r="A373" s="2" t="s">
        <v>1176</v>
      </c>
      <c r="B373" s="3" t="s">
        <v>1152</v>
      </c>
      <c r="C373" s="3" t="s">
        <v>774</v>
      </c>
      <c r="D373" s="4">
        <f>ROUND(6064164.31,2)</f>
        <v>6064164.31</v>
      </c>
      <c r="E373" s="4">
        <f>ROUND(2582500,2)</f>
        <v>2582500</v>
      </c>
      <c r="F373" s="4">
        <f>ROUND(3736511,2)</f>
        <v>3736511</v>
      </c>
      <c r="G373" s="4">
        <f>ROUND(4910153.31,2)</f>
        <v>4910153.31</v>
      </c>
      <c r="H373" s="4">
        <f>ROUND(2349333.25,2)</f>
        <v>2349333.25</v>
      </c>
      <c r="I373" s="4">
        <f t="shared" si="58"/>
        <v>0</v>
      </c>
      <c r="J373" s="4">
        <f>ROUND(900507.8,2)</f>
        <v>900507.8</v>
      </c>
      <c r="K373" s="4">
        <f>ROUND(1448825.45,2)</f>
        <v>1448825.45</v>
      </c>
    </row>
    <row r="374" spans="1:11" ht="25.5">
      <c r="A374" s="2" t="s">
        <v>330</v>
      </c>
      <c r="B374" s="3" t="s">
        <v>737</v>
      </c>
      <c r="C374" s="3" t="s">
        <v>114</v>
      </c>
      <c r="D374" s="4">
        <f>ROUND(3466664.31,2)</f>
        <v>3466664.31</v>
      </c>
      <c r="E374" s="4">
        <f>ROUND(2582500,2)</f>
        <v>2582500</v>
      </c>
      <c r="F374" s="4">
        <f>ROUND(3736511,2)</f>
        <v>3736511</v>
      </c>
      <c r="G374" s="4">
        <f>ROUND(2312653.31,2)</f>
        <v>2312653.31</v>
      </c>
      <c r="H374" s="4">
        <f>ROUND(2348803.25,2)</f>
        <v>2348803.25</v>
      </c>
      <c r="I374" s="4">
        <f t="shared" si="58"/>
        <v>0</v>
      </c>
      <c r="J374" s="4">
        <f>ROUND(900507.8,2)</f>
        <v>900507.8</v>
      </c>
      <c r="K374" s="4">
        <f>ROUND(1448295.45,2)</f>
        <v>1448295.45</v>
      </c>
    </row>
    <row r="375" spans="1:11" ht="51">
      <c r="A375" s="2" t="s">
        <v>1012</v>
      </c>
      <c r="B375" s="3" t="s">
        <v>1034</v>
      </c>
      <c r="C375" s="3" t="s">
        <v>933</v>
      </c>
      <c r="D375" s="4">
        <f>ROUND(1984000,2)</f>
        <v>1984000</v>
      </c>
      <c r="E375" s="4">
        <f aca="true" t="shared" si="59" ref="E375:F377">ROUND(0,2)</f>
        <v>0</v>
      </c>
      <c r="F375" s="4">
        <f t="shared" si="59"/>
        <v>0</v>
      </c>
      <c r="G375" s="4">
        <f>ROUND(1984000,2)</f>
        <v>1984000</v>
      </c>
      <c r="H375" s="4">
        <f>ROUND(1210319.31,2)</f>
        <v>1210319.31</v>
      </c>
      <c r="I375" s="4">
        <f t="shared" si="58"/>
        <v>0</v>
      </c>
      <c r="J375" s="4">
        <f>ROUND(0,2)</f>
        <v>0</v>
      </c>
      <c r="K375" s="4">
        <f>ROUND(1210319.31,2)</f>
        <v>1210319.31</v>
      </c>
    </row>
    <row r="376" spans="1:11" ht="25.5">
      <c r="A376" s="2" t="s">
        <v>561</v>
      </c>
      <c r="B376" s="3" t="s">
        <v>374</v>
      </c>
      <c r="C376" s="3" t="s">
        <v>227</v>
      </c>
      <c r="D376" s="4">
        <f>ROUND(1522000,2)</f>
        <v>1522000</v>
      </c>
      <c r="E376" s="4">
        <f t="shared" si="59"/>
        <v>0</v>
      </c>
      <c r="F376" s="4">
        <f t="shared" si="59"/>
        <v>0</v>
      </c>
      <c r="G376" s="4">
        <f>ROUND(1522000,2)</f>
        <v>1522000</v>
      </c>
      <c r="H376" s="4">
        <f>ROUND(1005609,2)</f>
        <v>1005609</v>
      </c>
      <c r="I376" s="4">
        <f t="shared" si="58"/>
        <v>0</v>
      </c>
      <c r="J376" s="4">
        <f>ROUND(0,2)</f>
        <v>0</v>
      </c>
      <c r="K376" s="4">
        <f>ROUND(1005609,2)</f>
        <v>1005609</v>
      </c>
    </row>
    <row r="377" spans="1:11" ht="38.25">
      <c r="A377" s="2" t="s">
        <v>440</v>
      </c>
      <c r="B377" s="3" t="s">
        <v>457</v>
      </c>
      <c r="C377" s="3" t="s">
        <v>144</v>
      </c>
      <c r="D377" s="4">
        <f>ROUND(462000,2)</f>
        <v>462000</v>
      </c>
      <c r="E377" s="4">
        <f t="shared" si="59"/>
        <v>0</v>
      </c>
      <c r="F377" s="4">
        <f t="shared" si="59"/>
        <v>0</v>
      </c>
      <c r="G377" s="4">
        <f>ROUND(462000,2)</f>
        <v>462000</v>
      </c>
      <c r="H377" s="4">
        <f>ROUND(204710.31,2)</f>
        <v>204710.31</v>
      </c>
      <c r="I377" s="4">
        <f t="shared" si="58"/>
        <v>0</v>
      </c>
      <c r="J377" s="4">
        <f>ROUND(0,2)</f>
        <v>0</v>
      </c>
      <c r="K377" s="4">
        <f>ROUND(204710.31,2)</f>
        <v>204710.31</v>
      </c>
    </row>
    <row r="378" spans="1:11" ht="25.5">
      <c r="A378" s="2" t="s">
        <v>983</v>
      </c>
      <c r="B378" s="3" t="s">
        <v>117</v>
      </c>
      <c r="C378" s="3" t="s">
        <v>286</v>
      </c>
      <c r="D378" s="4">
        <f>ROUND(1482662.31,2)</f>
        <v>1482662.31</v>
      </c>
      <c r="E378" s="4">
        <f>ROUND(0,2)</f>
        <v>0</v>
      </c>
      <c r="F378" s="4">
        <f>ROUND(1154011,2)</f>
        <v>1154011</v>
      </c>
      <c r="G378" s="4">
        <f>ROUND(328651.31,2)</f>
        <v>328651.31</v>
      </c>
      <c r="H378" s="4">
        <f>ROUND(1138482,2)</f>
        <v>1138482</v>
      </c>
      <c r="I378" s="4">
        <f t="shared" si="58"/>
        <v>0</v>
      </c>
      <c r="J378" s="4">
        <f>ROUND(900507.8,2)</f>
        <v>900507.8</v>
      </c>
      <c r="K378" s="4">
        <f>ROUND(237974.2,2)</f>
        <v>237974.2</v>
      </c>
    </row>
    <row r="379" spans="1:11" ht="25.5">
      <c r="A379" s="2" t="s">
        <v>450</v>
      </c>
      <c r="B379" s="3" t="s">
        <v>682</v>
      </c>
      <c r="C379" s="3" t="s">
        <v>736</v>
      </c>
      <c r="D379" s="4">
        <f>ROUND(5000,2)</f>
        <v>5000</v>
      </c>
      <c r="E379" s="4">
        <f>ROUND(0,2)</f>
        <v>0</v>
      </c>
      <c r="F379" s="4">
        <f>ROUND(0,2)</f>
        <v>0</v>
      </c>
      <c r="G379" s="4">
        <f>ROUND(5000,2)</f>
        <v>5000</v>
      </c>
      <c r="H379" s="4">
        <f>ROUND(4055.48,2)</f>
        <v>4055.48</v>
      </c>
      <c r="I379" s="4">
        <f t="shared" si="58"/>
        <v>0</v>
      </c>
      <c r="J379" s="4">
        <f>ROUND(0,2)</f>
        <v>0</v>
      </c>
      <c r="K379" s="4">
        <f>ROUND(4055.48,2)</f>
        <v>4055.48</v>
      </c>
    </row>
    <row r="380" spans="1:11" ht="25.5">
      <c r="A380" s="2" t="s">
        <v>708</v>
      </c>
      <c r="B380" s="3" t="s">
        <v>208</v>
      </c>
      <c r="C380" s="3" t="s">
        <v>867</v>
      </c>
      <c r="D380" s="4">
        <f>ROUND(1477662.31,2)</f>
        <v>1477662.31</v>
      </c>
      <c r="E380" s="4">
        <f>ROUND(0,2)</f>
        <v>0</v>
      </c>
      <c r="F380" s="4">
        <f>ROUND(1154011,2)</f>
        <v>1154011</v>
      </c>
      <c r="G380" s="4">
        <f>ROUND(323651.31,2)</f>
        <v>323651.31</v>
      </c>
      <c r="H380" s="4">
        <f>ROUND(1134426.52,2)</f>
        <v>1134426.52</v>
      </c>
      <c r="I380" s="4">
        <f t="shared" si="58"/>
        <v>0</v>
      </c>
      <c r="J380" s="4">
        <f>ROUND(900507.8,2)</f>
        <v>900507.8</v>
      </c>
      <c r="K380" s="4">
        <f>ROUND(233918.72,2)</f>
        <v>233918.72</v>
      </c>
    </row>
    <row r="381" spans="1:11" ht="38.25">
      <c r="A381" s="2" t="s">
        <v>1121</v>
      </c>
      <c r="B381" s="3" t="s">
        <v>1055</v>
      </c>
      <c r="C381" s="3" t="s">
        <v>258</v>
      </c>
      <c r="D381" s="4">
        <f>ROUND(0,2)</f>
        <v>0</v>
      </c>
      <c r="E381" s="4">
        <f>ROUND(2582500,2)</f>
        <v>2582500</v>
      </c>
      <c r="F381" s="4">
        <f>ROUND(2582500,2)</f>
        <v>2582500</v>
      </c>
      <c r="G381" s="4">
        <f>ROUND(0,2)</f>
        <v>0</v>
      </c>
      <c r="H381" s="4">
        <f>ROUND(0,2)</f>
        <v>0</v>
      </c>
      <c r="I381" s="4">
        <f t="shared" si="58"/>
        <v>0</v>
      </c>
      <c r="J381" s="4">
        <f>ROUND(0,2)</f>
        <v>0</v>
      </c>
      <c r="K381" s="4">
        <f>ROUND(0,2)</f>
        <v>0</v>
      </c>
    </row>
    <row r="382" spans="1:11" ht="76.5">
      <c r="A382" s="2" t="s">
        <v>575</v>
      </c>
      <c r="B382" s="3" t="s">
        <v>347</v>
      </c>
      <c r="C382" s="3" t="s">
        <v>1192</v>
      </c>
      <c r="D382" s="4">
        <f>ROUND(0,2)</f>
        <v>0</v>
      </c>
      <c r="E382" s="4">
        <f>ROUND(2582500,2)</f>
        <v>2582500</v>
      </c>
      <c r="F382" s="4">
        <f>ROUND(2582500,2)</f>
        <v>2582500</v>
      </c>
      <c r="G382" s="4">
        <f>ROUND(0,2)</f>
        <v>0</v>
      </c>
      <c r="H382" s="4">
        <f>ROUND(0,2)</f>
        <v>0</v>
      </c>
      <c r="I382" s="4">
        <f t="shared" si="58"/>
        <v>0</v>
      </c>
      <c r="J382" s="4">
        <f>ROUND(0,2)</f>
        <v>0</v>
      </c>
      <c r="K382" s="4">
        <f>ROUND(0,2)</f>
        <v>0</v>
      </c>
    </row>
    <row r="383" spans="1:11" ht="25.5">
      <c r="A383" s="2" t="s">
        <v>1065</v>
      </c>
      <c r="B383" s="3" t="s">
        <v>1003</v>
      </c>
      <c r="C383" s="3" t="s">
        <v>1114</v>
      </c>
      <c r="D383" s="4">
        <f>ROUND(2,2)</f>
        <v>2</v>
      </c>
      <c r="E383" s="4">
        <f aca="true" t="shared" si="60" ref="E383:F386">ROUND(0,2)</f>
        <v>0</v>
      </c>
      <c r="F383" s="4">
        <f t="shared" si="60"/>
        <v>0</v>
      </c>
      <c r="G383" s="4">
        <f>ROUND(2,2)</f>
        <v>2</v>
      </c>
      <c r="H383" s="4">
        <f>ROUND(1.94,2)</f>
        <v>1.94</v>
      </c>
      <c r="I383" s="4">
        <f t="shared" si="58"/>
        <v>0</v>
      </c>
      <c r="J383" s="4">
        <f>ROUND(0,2)</f>
        <v>0</v>
      </c>
      <c r="K383" s="4">
        <f>ROUND(1.94,2)</f>
        <v>1.94</v>
      </c>
    </row>
    <row r="384" spans="1:11" ht="38.25">
      <c r="A384" s="2" t="s">
        <v>356</v>
      </c>
      <c r="B384" s="3" t="s">
        <v>814</v>
      </c>
      <c r="C384" s="3" t="s">
        <v>926</v>
      </c>
      <c r="D384" s="4">
        <f>ROUND(2597500,2)</f>
        <v>2597500</v>
      </c>
      <c r="E384" s="4">
        <f t="shared" si="60"/>
        <v>0</v>
      </c>
      <c r="F384" s="4">
        <f t="shared" si="60"/>
        <v>0</v>
      </c>
      <c r="G384" s="4">
        <f>ROUND(2597500,2)</f>
        <v>2597500</v>
      </c>
      <c r="H384" s="4">
        <f>ROUND(530,2)</f>
        <v>530</v>
      </c>
      <c r="I384" s="4">
        <f t="shared" si="58"/>
        <v>0</v>
      </c>
      <c r="J384" s="4">
        <f>ROUND(0,2)</f>
        <v>0</v>
      </c>
      <c r="K384" s="4">
        <f>ROUND(530,2)</f>
        <v>530</v>
      </c>
    </row>
    <row r="385" spans="1:11" ht="38.25">
      <c r="A385" s="2" t="s">
        <v>820</v>
      </c>
      <c r="B385" s="3" t="s">
        <v>1120</v>
      </c>
      <c r="C385" s="3" t="s">
        <v>1106</v>
      </c>
      <c r="D385" s="4">
        <f>ROUND(2582500,2)</f>
        <v>2582500</v>
      </c>
      <c r="E385" s="4">
        <f t="shared" si="60"/>
        <v>0</v>
      </c>
      <c r="F385" s="4">
        <f t="shared" si="60"/>
        <v>0</v>
      </c>
      <c r="G385" s="4">
        <f>ROUND(2582500,2)</f>
        <v>2582500</v>
      </c>
      <c r="H385" s="4">
        <f>ROUND(0,2)</f>
        <v>0</v>
      </c>
      <c r="I385" s="4">
        <f t="shared" si="58"/>
        <v>0</v>
      </c>
      <c r="J385" s="4">
        <f>ROUND(0,2)</f>
        <v>0</v>
      </c>
      <c r="K385" s="4">
        <f>ROUND(0,2)</f>
        <v>0</v>
      </c>
    </row>
    <row r="386" spans="1:11" ht="51">
      <c r="A386" s="2" t="s">
        <v>105</v>
      </c>
      <c r="B386" s="3" t="s">
        <v>789</v>
      </c>
      <c r="C386" s="3" t="s">
        <v>873</v>
      </c>
      <c r="D386" s="4">
        <f>ROUND(15000,2)</f>
        <v>15000</v>
      </c>
      <c r="E386" s="4">
        <f t="shared" si="60"/>
        <v>0</v>
      </c>
      <c r="F386" s="4">
        <f t="shared" si="60"/>
        <v>0</v>
      </c>
      <c r="G386" s="4">
        <f>ROUND(15000,2)</f>
        <v>15000</v>
      </c>
      <c r="H386" s="4">
        <f>ROUND(530,2)</f>
        <v>530</v>
      </c>
      <c r="I386" s="4">
        <f t="shared" si="58"/>
        <v>0</v>
      </c>
      <c r="J386" s="4">
        <f>ROUND(0,2)</f>
        <v>0</v>
      </c>
      <c r="K386" s="4">
        <f>ROUND(530,2)</f>
        <v>530</v>
      </c>
    </row>
    <row r="387" spans="1:11" ht="25.5">
      <c r="A387" s="2" t="s">
        <v>159</v>
      </c>
      <c r="B387" s="3" t="s">
        <v>515</v>
      </c>
      <c r="C387" s="3" t="s">
        <v>1188</v>
      </c>
      <c r="D387" s="4">
        <f>ROUND(442405381.25,2)</f>
        <v>442405381.25</v>
      </c>
      <c r="E387" s="4">
        <f aca="true" t="shared" si="61" ref="E387:E418">ROUND(0,2)</f>
        <v>0</v>
      </c>
      <c r="F387" s="4">
        <f>ROUND(442405381.25,2)</f>
        <v>442405381.25</v>
      </c>
      <c r="G387" s="4">
        <f aca="true" t="shared" si="62" ref="G387:G420">ROUND(0,2)</f>
        <v>0</v>
      </c>
      <c r="H387" s="4">
        <f>ROUND(403767691.82,2)</f>
        <v>403767691.82</v>
      </c>
      <c r="I387" s="4">
        <f t="shared" si="58"/>
        <v>0</v>
      </c>
      <c r="J387" s="4">
        <f>ROUND(403767691.82,2)</f>
        <v>403767691.82</v>
      </c>
      <c r="K387" s="4">
        <f aca="true" t="shared" si="63" ref="K387:K420">ROUND(0,2)</f>
        <v>0</v>
      </c>
    </row>
    <row r="388" spans="1:11" ht="25.5">
      <c r="A388" s="2" t="s">
        <v>730</v>
      </c>
      <c r="B388" s="3" t="s">
        <v>10</v>
      </c>
      <c r="C388" s="3" t="s">
        <v>114</v>
      </c>
      <c r="D388" s="4">
        <f>ROUND(118534787.36,2)</f>
        <v>118534787.36</v>
      </c>
      <c r="E388" s="4">
        <f t="shared" si="61"/>
        <v>0</v>
      </c>
      <c r="F388" s="4">
        <f>ROUND(118534787.36,2)</f>
        <v>118534787.36</v>
      </c>
      <c r="G388" s="4">
        <f t="shared" si="62"/>
        <v>0</v>
      </c>
      <c r="H388" s="4">
        <f>ROUND(104747076.17,2)</f>
        <v>104747076.17</v>
      </c>
      <c r="I388" s="4">
        <f t="shared" si="58"/>
        <v>0</v>
      </c>
      <c r="J388" s="4">
        <f>ROUND(104747076.17,2)</f>
        <v>104747076.17</v>
      </c>
      <c r="K388" s="4">
        <f t="shared" si="63"/>
        <v>0</v>
      </c>
    </row>
    <row r="389" spans="1:11" ht="25.5">
      <c r="A389" s="2" t="s">
        <v>104</v>
      </c>
      <c r="B389" s="3" t="s">
        <v>595</v>
      </c>
      <c r="C389" s="3" t="s">
        <v>286</v>
      </c>
      <c r="D389" s="4">
        <f>ROUND(13332049.43,2)</f>
        <v>13332049.43</v>
      </c>
      <c r="E389" s="4">
        <f t="shared" si="61"/>
        <v>0</v>
      </c>
      <c r="F389" s="4">
        <f>ROUND(13332049.43,2)</f>
        <v>13332049.43</v>
      </c>
      <c r="G389" s="4">
        <f t="shared" si="62"/>
        <v>0</v>
      </c>
      <c r="H389" s="4">
        <f>ROUND(13332030.21,2)</f>
        <v>13332030.21</v>
      </c>
      <c r="I389" s="4">
        <f t="shared" si="58"/>
        <v>0</v>
      </c>
      <c r="J389" s="4">
        <f>ROUND(13332030.21,2)</f>
        <v>13332030.21</v>
      </c>
      <c r="K389" s="4">
        <f t="shared" si="63"/>
        <v>0</v>
      </c>
    </row>
    <row r="390" spans="1:11" ht="25.5">
      <c r="A390" s="2" t="s">
        <v>420</v>
      </c>
      <c r="B390" s="3" t="s">
        <v>868</v>
      </c>
      <c r="C390" s="3" t="s">
        <v>867</v>
      </c>
      <c r="D390" s="4">
        <f>ROUND(13332049.43,2)</f>
        <v>13332049.43</v>
      </c>
      <c r="E390" s="4">
        <f t="shared" si="61"/>
        <v>0</v>
      </c>
      <c r="F390" s="4">
        <f>ROUND(13332049.43,2)</f>
        <v>13332049.43</v>
      </c>
      <c r="G390" s="4">
        <f t="shared" si="62"/>
        <v>0</v>
      </c>
      <c r="H390" s="4">
        <f>ROUND(13332030.21,2)</f>
        <v>13332030.21</v>
      </c>
      <c r="I390" s="4">
        <f t="shared" si="58"/>
        <v>0</v>
      </c>
      <c r="J390" s="4">
        <f>ROUND(13332030.21,2)</f>
        <v>13332030.21</v>
      </c>
      <c r="K390" s="4">
        <f t="shared" si="63"/>
        <v>0</v>
      </c>
    </row>
    <row r="391" spans="1:11" ht="38.25">
      <c r="A391" s="2" t="s">
        <v>375</v>
      </c>
      <c r="B391" s="3" t="s">
        <v>29</v>
      </c>
      <c r="C391" s="3" t="s">
        <v>149</v>
      </c>
      <c r="D391" s="4">
        <f>ROUND(105202737.93,2)</f>
        <v>105202737.93</v>
      </c>
      <c r="E391" s="4">
        <f t="shared" si="61"/>
        <v>0</v>
      </c>
      <c r="F391" s="4">
        <f>ROUND(105202737.93,2)</f>
        <v>105202737.93</v>
      </c>
      <c r="G391" s="4">
        <f t="shared" si="62"/>
        <v>0</v>
      </c>
      <c r="H391" s="4">
        <f>ROUND(91415045.96,2)</f>
        <v>91415045.96</v>
      </c>
      <c r="I391" s="4">
        <f t="shared" si="58"/>
        <v>0</v>
      </c>
      <c r="J391" s="4">
        <f>ROUND(91415045.96,2)</f>
        <v>91415045.96</v>
      </c>
      <c r="K391" s="4">
        <f t="shared" si="63"/>
        <v>0</v>
      </c>
    </row>
    <row r="392" spans="1:11" ht="63.75">
      <c r="A392" s="2" t="s">
        <v>1052</v>
      </c>
      <c r="B392" s="3" t="s">
        <v>691</v>
      </c>
      <c r="C392" s="3" t="s">
        <v>869</v>
      </c>
      <c r="D392" s="4">
        <f>ROUND(104060737.93,2)</f>
        <v>104060737.93</v>
      </c>
      <c r="E392" s="4">
        <f t="shared" si="61"/>
        <v>0</v>
      </c>
      <c r="F392" s="4">
        <f>ROUND(104060737.93,2)</f>
        <v>104060737.93</v>
      </c>
      <c r="G392" s="4">
        <f t="shared" si="62"/>
        <v>0</v>
      </c>
      <c r="H392" s="4">
        <f>ROUND(90285045.96,2)</f>
        <v>90285045.96</v>
      </c>
      <c r="I392" s="4">
        <f t="shared" si="58"/>
        <v>0</v>
      </c>
      <c r="J392" s="4">
        <f>ROUND(90285045.96,2)</f>
        <v>90285045.96</v>
      </c>
      <c r="K392" s="4">
        <f t="shared" si="63"/>
        <v>0</v>
      </c>
    </row>
    <row r="393" spans="1:11" ht="89.25">
      <c r="A393" s="2" t="s">
        <v>373</v>
      </c>
      <c r="B393" s="3" t="s">
        <v>192</v>
      </c>
      <c r="C393" s="3" t="s">
        <v>364</v>
      </c>
      <c r="D393" s="4">
        <f>ROUND(1142000,2)</f>
        <v>1142000</v>
      </c>
      <c r="E393" s="4">
        <f t="shared" si="61"/>
        <v>0</v>
      </c>
      <c r="F393" s="4">
        <f>ROUND(1142000,2)</f>
        <v>1142000</v>
      </c>
      <c r="G393" s="4">
        <f t="shared" si="62"/>
        <v>0</v>
      </c>
      <c r="H393" s="4">
        <f>ROUND(1130000,2)</f>
        <v>1130000</v>
      </c>
      <c r="I393" s="4">
        <f t="shared" si="58"/>
        <v>0</v>
      </c>
      <c r="J393" s="4">
        <f>ROUND(1130000,2)</f>
        <v>1130000</v>
      </c>
      <c r="K393" s="4">
        <f t="shared" si="63"/>
        <v>0</v>
      </c>
    </row>
    <row r="394" spans="1:11" ht="38.25">
      <c r="A394" s="2" t="s">
        <v>653</v>
      </c>
      <c r="B394" s="3" t="s">
        <v>250</v>
      </c>
      <c r="C394" s="3" t="s">
        <v>926</v>
      </c>
      <c r="D394" s="4">
        <f>ROUND(323870593.89,2)</f>
        <v>323870593.89</v>
      </c>
      <c r="E394" s="4">
        <f t="shared" si="61"/>
        <v>0</v>
      </c>
      <c r="F394" s="4">
        <f>ROUND(323870593.89,2)</f>
        <v>323870593.89</v>
      </c>
      <c r="G394" s="4">
        <f t="shared" si="62"/>
        <v>0</v>
      </c>
      <c r="H394" s="4">
        <f>ROUND(299020615.65,2)</f>
        <v>299020615.65</v>
      </c>
      <c r="I394" s="4">
        <f t="shared" si="58"/>
        <v>0</v>
      </c>
      <c r="J394" s="4">
        <f>ROUND(299020615.65,2)</f>
        <v>299020615.65</v>
      </c>
      <c r="K394" s="4">
        <f t="shared" si="63"/>
        <v>0</v>
      </c>
    </row>
    <row r="395" spans="1:11" ht="38.25">
      <c r="A395" s="2" t="s">
        <v>521</v>
      </c>
      <c r="B395" s="3" t="s">
        <v>545</v>
      </c>
      <c r="C395" s="3" t="s">
        <v>1106</v>
      </c>
      <c r="D395" s="4">
        <f>ROUND(323870593.89,2)</f>
        <v>323870593.89</v>
      </c>
      <c r="E395" s="4">
        <f t="shared" si="61"/>
        <v>0</v>
      </c>
      <c r="F395" s="4">
        <f>ROUND(323870593.89,2)</f>
        <v>323870593.89</v>
      </c>
      <c r="G395" s="4">
        <f t="shared" si="62"/>
        <v>0</v>
      </c>
      <c r="H395" s="4">
        <f>ROUND(299020615.65,2)</f>
        <v>299020615.65</v>
      </c>
      <c r="I395" s="4">
        <f t="shared" si="58"/>
        <v>0</v>
      </c>
      <c r="J395" s="4">
        <f>ROUND(299020615.65,2)</f>
        <v>299020615.65</v>
      </c>
      <c r="K395" s="4">
        <f t="shared" si="63"/>
        <v>0</v>
      </c>
    </row>
    <row r="396" spans="1:11" ht="38.25">
      <c r="A396" s="2" t="s">
        <v>432</v>
      </c>
      <c r="B396" s="3" t="s">
        <v>196</v>
      </c>
      <c r="C396" s="3" t="s">
        <v>1090</v>
      </c>
      <c r="D396" s="4">
        <f>ROUND(14160000,2)</f>
        <v>14160000</v>
      </c>
      <c r="E396" s="4">
        <f t="shared" si="61"/>
        <v>0</v>
      </c>
      <c r="F396" s="4">
        <f>ROUND(14160000,2)</f>
        <v>14160000</v>
      </c>
      <c r="G396" s="4">
        <f t="shared" si="62"/>
        <v>0</v>
      </c>
      <c r="H396" s="4">
        <f>ROUND(14007058.51,2)</f>
        <v>14007058.51</v>
      </c>
      <c r="I396" s="4">
        <f t="shared" si="58"/>
        <v>0</v>
      </c>
      <c r="J396" s="4">
        <f>ROUND(14007058.51,2)</f>
        <v>14007058.51</v>
      </c>
      <c r="K396" s="4">
        <f t="shared" si="63"/>
        <v>0</v>
      </c>
    </row>
    <row r="397" spans="1:11" ht="25.5">
      <c r="A397" s="2" t="s">
        <v>991</v>
      </c>
      <c r="B397" s="3" t="s">
        <v>332</v>
      </c>
      <c r="C397" s="3" t="s">
        <v>114</v>
      </c>
      <c r="D397" s="4">
        <f>ROUND(14160000,2)</f>
        <v>14160000</v>
      </c>
      <c r="E397" s="4">
        <f t="shared" si="61"/>
        <v>0</v>
      </c>
      <c r="F397" s="4">
        <f>ROUND(14160000,2)</f>
        <v>14160000</v>
      </c>
      <c r="G397" s="4">
        <f t="shared" si="62"/>
        <v>0</v>
      </c>
      <c r="H397" s="4">
        <f>ROUND(14007058.51,2)</f>
        <v>14007058.51</v>
      </c>
      <c r="I397" s="4">
        <f t="shared" si="58"/>
        <v>0</v>
      </c>
      <c r="J397" s="4">
        <f>ROUND(14007058.51,2)</f>
        <v>14007058.51</v>
      </c>
      <c r="K397" s="4">
        <f t="shared" si="63"/>
        <v>0</v>
      </c>
    </row>
    <row r="398" spans="1:11" ht="38.25">
      <c r="A398" s="2" t="s">
        <v>958</v>
      </c>
      <c r="B398" s="3" t="s">
        <v>313</v>
      </c>
      <c r="C398" s="3" t="s">
        <v>149</v>
      </c>
      <c r="D398" s="4">
        <f>ROUND(14160000,2)</f>
        <v>14160000</v>
      </c>
      <c r="E398" s="4">
        <f t="shared" si="61"/>
        <v>0</v>
      </c>
      <c r="F398" s="4">
        <f>ROUND(14160000,2)</f>
        <v>14160000</v>
      </c>
      <c r="G398" s="4">
        <f t="shared" si="62"/>
        <v>0</v>
      </c>
      <c r="H398" s="4">
        <f>ROUND(14007058.51,2)</f>
        <v>14007058.51</v>
      </c>
      <c r="I398" s="4">
        <f t="shared" si="58"/>
        <v>0</v>
      </c>
      <c r="J398" s="4">
        <f>ROUND(14007058.51,2)</f>
        <v>14007058.51</v>
      </c>
      <c r="K398" s="4">
        <f t="shared" si="63"/>
        <v>0</v>
      </c>
    </row>
    <row r="399" spans="1:11" ht="63.75">
      <c r="A399" s="2" t="s">
        <v>395</v>
      </c>
      <c r="B399" s="3" t="s">
        <v>1015</v>
      </c>
      <c r="C399" s="3" t="s">
        <v>869</v>
      </c>
      <c r="D399" s="4">
        <f>ROUND(14160000,2)</f>
        <v>14160000</v>
      </c>
      <c r="E399" s="4">
        <f t="shared" si="61"/>
        <v>0</v>
      </c>
      <c r="F399" s="4">
        <f>ROUND(14160000,2)</f>
        <v>14160000</v>
      </c>
      <c r="G399" s="4">
        <f t="shared" si="62"/>
        <v>0</v>
      </c>
      <c r="H399" s="4">
        <f>ROUND(14007058.51,2)</f>
        <v>14007058.51</v>
      </c>
      <c r="I399" s="4">
        <f t="shared" si="58"/>
        <v>0</v>
      </c>
      <c r="J399" s="4">
        <f>ROUND(14007058.51,2)</f>
        <v>14007058.51</v>
      </c>
      <c r="K399" s="4">
        <f t="shared" si="63"/>
        <v>0</v>
      </c>
    </row>
    <row r="400" spans="1:11" ht="25.5">
      <c r="A400" s="2" t="s">
        <v>1196</v>
      </c>
      <c r="B400" s="3" t="s">
        <v>1066</v>
      </c>
      <c r="C400" s="3" t="s">
        <v>757</v>
      </c>
      <c r="D400" s="4">
        <f>ROUND(31502000,2)</f>
        <v>31502000</v>
      </c>
      <c r="E400" s="4">
        <f t="shared" si="61"/>
        <v>0</v>
      </c>
      <c r="F400" s="4">
        <f>ROUND(31502000,2)</f>
        <v>31502000</v>
      </c>
      <c r="G400" s="4">
        <f t="shared" si="62"/>
        <v>0</v>
      </c>
      <c r="H400" s="4">
        <f>ROUND(22172581.68,2)</f>
        <v>22172581.68</v>
      </c>
      <c r="I400" s="4">
        <f t="shared" si="58"/>
        <v>0</v>
      </c>
      <c r="J400" s="4">
        <f>ROUND(22172581.68,2)</f>
        <v>22172581.68</v>
      </c>
      <c r="K400" s="4">
        <f t="shared" si="63"/>
        <v>0</v>
      </c>
    </row>
    <row r="401" spans="1:11" ht="25.5">
      <c r="A401" s="2" t="s">
        <v>341</v>
      </c>
      <c r="B401" s="3" t="s">
        <v>679</v>
      </c>
      <c r="C401" s="3" t="s">
        <v>114</v>
      </c>
      <c r="D401" s="4">
        <f>ROUND(31502000,2)</f>
        <v>31502000</v>
      </c>
      <c r="E401" s="4">
        <f t="shared" si="61"/>
        <v>0</v>
      </c>
      <c r="F401" s="4">
        <f>ROUND(31502000,2)</f>
        <v>31502000</v>
      </c>
      <c r="G401" s="4">
        <f t="shared" si="62"/>
        <v>0</v>
      </c>
      <c r="H401" s="4">
        <f>ROUND(22172581.68,2)</f>
        <v>22172581.68</v>
      </c>
      <c r="I401" s="4">
        <f aca="true" t="shared" si="64" ref="I401:I432">ROUND(0,2)</f>
        <v>0</v>
      </c>
      <c r="J401" s="4">
        <f>ROUND(22172581.68,2)</f>
        <v>22172581.68</v>
      </c>
      <c r="K401" s="4">
        <f t="shared" si="63"/>
        <v>0</v>
      </c>
    </row>
    <row r="402" spans="1:11" ht="38.25">
      <c r="A402" s="2" t="s">
        <v>26</v>
      </c>
      <c r="B402" s="3" t="s">
        <v>659</v>
      </c>
      <c r="C402" s="3" t="s">
        <v>149</v>
      </c>
      <c r="D402" s="4">
        <f>ROUND(31502000,2)</f>
        <v>31502000</v>
      </c>
      <c r="E402" s="4">
        <f t="shared" si="61"/>
        <v>0</v>
      </c>
      <c r="F402" s="4">
        <f>ROUND(31502000,2)</f>
        <v>31502000</v>
      </c>
      <c r="G402" s="4">
        <f t="shared" si="62"/>
        <v>0</v>
      </c>
      <c r="H402" s="4">
        <f>ROUND(22172581.68,2)</f>
        <v>22172581.68</v>
      </c>
      <c r="I402" s="4">
        <f t="shared" si="64"/>
        <v>0</v>
      </c>
      <c r="J402" s="4">
        <f>ROUND(22172581.68,2)</f>
        <v>22172581.68</v>
      </c>
      <c r="K402" s="4">
        <f t="shared" si="63"/>
        <v>0</v>
      </c>
    </row>
    <row r="403" spans="1:11" ht="63.75">
      <c r="A403" s="2" t="s">
        <v>707</v>
      </c>
      <c r="B403" s="3" t="s">
        <v>140</v>
      </c>
      <c r="C403" s="3" t="s">
        <v>869</v>
      </c>
      <c r="D403" s="4">
        <f>ROUND(30360000,2)</f>
        <v>30360000</v>
      </c>
      <c r="E403" s="4">
        <f t="shared" si="61"/>
        <v>0</v>
      </c>
      <c r="F403" s="4">
        <f>ROUND(30360000,2)</f>
        <v>30360000</v>
      </c>
      <c r="G403" s="4">
        <f t="shared" si="62"/>
        <v>0</v>
      </c>
      <c r="H403" s="4">
        <f>ROUND(21042581.68,2)</f>
        <v>21042581.68</v>
      </c>
      <c r="I403" s="4">
        <f t="shared" si="64"/>
        <v>0</v>
      </c>
      <c r="J403" s="4">
        <f>ROUND(21042581.68,2)</f>
        <v>21042581.68</v>
      </c>
      <c r="K403" s="4">
        <f t="shared" si="63"/>
        <v>0</v>
      </c>
    </row>
    <row r="404" spans="1:11" ht="89.25">
      <c r="A404" s="2" t="s">
        <v>14</v>
      </c>
      <c r="B404" s="3" t="s">
        <v>778</v>
      </c>
      <c r="C404" s="3" t="s">
        <v>364</v>
      </c>
      <c r="D404" s="4">
        <f>ROUND(1142000,2)</f>
        <v>1142000</v>
      </c>
      <c r="E404" s="4">
        <f t="shared" si="61"/>
        <v>0</v>
      </c>
      <c r="F404" s="4">
        <f>ROUND(1142000,2)</f>
        <v>1142000</v>
      </c>
      <c r="G404" s="4">
        <f t="shared" si="62"/>
        <v>0</v>
      </c>
      <c r="H404" s="4">
        <f>ROUND(1130000,2)</f>
        <v>1130000</v>
      </c>
      <c r="I404" s="4">
        <f t="shared" si="64"/>
        <v>0</v>
      </c>
      <c r="J404" s="4">
        <f>ROUND(1130000,2)</f>
        <v>1130000</v>
      </c>
      <c r="K404" s="4">
        <f t="shared" si="63"/>
        <v>0</v>
      </c>
    </row>
    <row r="405" spans="1:11" ht="51">
      <c r="A405" s="2" t="s">
        <v>729</v>
      </c>
      <c r="B405" s="3" t="s">
        <v>777</v>
      </c>
      <c r="C405" s="3" t="s">
        <v>335</v>
      </c>
      <c r="D405" s="4">
        <f>ROUND(100000,2)</f>
        <v>100000</v>
      </c>
      <c r="E405" s="4">
        <f t="shared" si="61"/>
        <v>0</v>
      </c>
      <c r="F405" s="4">
        <f>ROUND(100000,2)</f>
        <v>100000</v>
      </c>
      <c r="G405" s="4">
        <f t="shared" si="62"/>
        <v>0</v>
      </c>
      <c r="H405" s="4">
        <f>ROUND(100000,2)</f>
        <v>100000</v>
      </c>
      <c r="I405" s="4">
        <f t="shared" si="64"/>
        <v>0</v>
      </c>
      <c r="J405" s="4">
        <f>ROUND(100000,2)</f>
        <v>100000</v>
      </c>
      <c r="K405" s="4">
        <f t="shared" si="63"/>
        <v>0</v>
      </c>
    </row>
    <row r="406" spans="1:11" ht="25.5">
      <c r="A406" s="2" t="s">
        <v>68</v>
      </c>
      <c r="B406" s="3" t="s">
        <v>962</v>
      </c>
      <c r="C406" s="3" t="s">
        <v>114</v>
      </c>
      <c r="D406" s="4">
        <f>ROUND(100000,2)</f>
        <v>100000</v>
      </c>
      <c r="E406" s="4">
        <f t="shared" si="61"/>
        <v>0</v>
      </c>
      <c r="F406" s="4">
        <f>ROUND(100000,2)</f>
        <v>100000</v>
      </c>
      <c r="G406" s="4">
        <f t="shared" si="62"/>
        <v>0</v>
      </c>
      <c r="H406" s="4">
        <f>ROUND(100000,2)</f>
        <v>100000</v>
      </c>
      <c r="I406" s="4">
        <f t="shared" si="64"/>
        <v>0</v>
      </c>
      <c r="J406" s="4">
        <f>ROUND(100000,2)</f>
        <v>100000</v>
      </c>
      <c r="K406" s="4">
        <f t="shared" si="63"/>
        <v>0</v>
      </c>
    </row>
    <row r="407" spans="1:11" ht="38.25">
      <c r="A407" s="2" t="s">
        <v>13</v>
      </c>
      <c r="B407" s="3" t="s">
        <v>981</v>
      </c>
      <c r="C407" s="3" t="s">
        <v>149</v>
      </c>
      <c r="D407" s="4">
        <f>ROUND(100000,2)</f>
        <v>100000</v>
      </c>
      <c r="E407" s="4">
        <f t="shared" si="61"/>
        <v>0</v>
      </c>
      <c r="F407" s="4">
        <f>ROUND(100000,2)</f>
        <v>100000</v>
      </c>
      <c r="G407" s="4">
        <f t="shared" si="62"/>
        <v>0</v>
      </c>
      <c r="H407" s="4">
        <f>ROUND(100000,2)</f>
        <v>100000</v>
      </c>
      <c r="I407" s="4">
        <f t="shared" si="64"/>
        <v>0</v>
      </c>
      <c r="J407" s="4">
        <f>ROUND(100000,2)</f>
        <v>100000</v>
      </c>
      <c r="K407" s="4">
        <f t="shared" si="63"/>
        <v>0</v>
      </c>
    </row>
    <row r="408" spans="1:11" ht="63.75">
      <c r="A408" s="2" t="s">
        <v>706</v>
      </c>
      <c r="B408" s="3" t="s">
        <v>439</v>
      </c>
      <c r="C408" s="3" t="s">
        <v>869</v>
      </c>
      <c r="D408" s="4">
        <f>ROUND(100000,2)</f>
        <v>100000</v>
      </c>
      <c r="E408" s="4">
        <f t="shared" si="61"/>
        <v>0</v>
      </c>
      <c r="F408" s="4">
        <f>ROUND(100000,2)</f>
        <v>100000</v>
      </c>
      <c r="G408" s="4">
        <f t="shared" si="62"/>
        <v>0</v>
      </c>
      <c r="H408" s="4">
        <f>ROUND(100000,2)</f>
        <v>100000</v>
      </c>
      <c r="I408" s="4">
        <f t="shared" si="64"/>
        <v>0</v>
      </c>
      <c r="J408" s="4">
        <f>ROUND(100000,2)</f>
        <v>100000</v>
      </c>
      <c r="K408" s="4">
        <f t="shared" si="63"/>
        <v>0</v>
      </c>
    </row>
    <row r="409" spans="1:11" ht="38.25">
      <c r="A409" s="2" t="s">
        <v>295</v>
      </c>
      <c r="B409" s="3" t="s">
        <v>248</v>
      </c>
      <c r="C409" s="3" t="s">
        <v>617</v>
      </c>
      <c r="D409" s="4">
        <f>ROUND(13698000,2)</f>
        <v>13698000</v>
      </c>
      <c r="E409" s="4">
        <f t="shared" si="61"/>
        <v>0</v>
      </c>
      <c r="F409" s="4">
        <f>ROUND(13698000,2)</f>
        <v>13698000</v>
      </c>
      <c r="G409" s="4">
        <f t="shared" si="62"/>
        <v>0</v>
      </c>
      <c r="H409" s="4">
        <f>ROUND(10427096.56,2)</f>
        <v>10427096.56</v>
      </c>
      <c r="I409" s="4">
        <f t="shared" si="64"/>
        <v>0</v>
      </c>
      <c r="J409" s="4">
        <f>ROUND(10427096.56,2)</f>
        <v>10427096.56</v>
      </c>
      <c r="K409" s="4">
        <f t="shared" si="63"/>
        <v>0</v>
      </c>
    </row>
    <row r="410" spans="1:11" ht="25.5">
      <c r="A410" s="2" t="s">
        <v>625</v>
      </c>
      <c r="B410" s="3" t="s">
        <v>441</v>
      </c>
      <c r="C410" s="3" t="s">
        <v>114</v>
      </c>
      <c r="D410" s="4">
        <f>ROUND(13698000,2)</f>
        <v>13698000</v>
      </c>
      <c r="E410" s="4">
        <f t="shared" si="61"/>
        <v>0</v>
      </c>
      <c r="F410" s="4">
        <f>ROUND(13698000,2)</f>
        <v>13698000</v>
      </c>
      <c r="G410" s="4">
        <f t="shared" si="62"/>
        <v>0</v>
      </c>
      <c r="H410" s="4">
        <f>ROUND(10427096.56,2)</f>
        <v>10427096.56</v>
      </c>
      <c r="I410" s="4">
        <f t="shared" si="64"/>
        <v>0</v>
      </c>
      <c r="J410" s="4">
        <f>ROUND(10427096.56,2)</f>
        <v>10427096.56</v>
      </c>
      <c r="K410" s="4">
        <f t="shared" si="63"/>
        <v>0</v>
      </c>
    </row>
    <row r="411" spans="1:11" ht="38.25">
      <c r="A411" s="2" t="s">
        <v>359</v>
      </c>
      <c r="B411" s="3" t="s">
        <v>454</v>
      </c>
      <c r="C411" s="3" t="s">
        <v>149</v>
      </c>
      <c r="D411" s="4">
        <f>ROUND(13698000,2)</f>
        <v>13698000</v>
      </c>
      <c r="E411" s="4">
        <f t="shared" si="61"/>
        <v>0</v>
      </c>
      <c r="F411" s="4">
        <f>ROUND(13698000,2)</f>
        <v>13698000</v>
      </c>
      <c r="G411" s="4">
        <f t="shared" si="62"/>
        <v>0</v>
      </c>
      <c r="H411" s="4">
        <f>ROUND(10427096.56,2)</f>
        <v>10427096.56</v>
      </c>
      <c r="I411" s="4">
        <f t="shared" si="64"/>
        <v>0</v>
      </c>
      <c r="J411" s="4">
        <f>ROUND(10427096.56,2)</f>
        <v>10427096.56</v>
      </c>
      <c r="K411" s="4">
        <f t="shared" si="63"/>
        <v>0</v>
      </c>
    </row>
    <row r="412" spans="1:11" ht="63.75">
      <c r="A412" s="2" t="s">
        <v>1038</v>
      </c>
      <c r="B412" s="3" t="s">
        <v>972</v>
      </c>
      <c r="C412" s="3" t="s">
        <v>869</v>
      </c>
      <c r="D412" s="4">
        <f>ROUND(13698000,2)</f>
        <v>13698000</v>
      </c>
      <c r="E412" s="4">
        <f t="shared" si="61"/>
        <v>0</v>
      </c>
      <c r="F412" s="4">
        <f>ROUND(13698000,2)</f>
        <v>13698000</v>
      </c>
      <c r="G412" s="4">
        <f t="shared" si="62"/>
        <v>0</v>
      </c>
      <c r="H412" s="4">
        <f>ROUND(10427096.56,2)</f>
        <v>10427096.56</v>
      </c>
      <c r="I412" s="4">
        <f t="shared" si="64"/>
        <v>0</v>
      </c>
      <c r="J412" s="4">
        <f>ROUND(10427096.56,2)</f>
        <v>10427096.56</v>
      </c>
      <c r="K412" s="4">
        <f t="shared" si="63"/>
        <v>0</v>
      </c>
    </row>
    <row r="413" spans="1:11" ht="38.25">
      <c r="A413" s="2" t="s">
        <v>872</v>
      </c>
      <c r="B413" s="3" t="s">
        <v>721</v>
      </c>
      <c r="C413" s="3" t="s">
        <v>331</v>
      </c>
      <c r="D413" s="4">
        <f>ROUND(382945381.25,2)</f>
        <v>382945381.25</v>
      </c>
      <c r="E413" s="4">
        <f t="shared" si="61"/>
        <v>0</v>
      </c>
      <c r="F413" s="4">
        <f>ROUND(382945381.25,2)</f>
        <v>382945381.25</v>
      </c>
      <c r="G413" s="4">
        <f t="shared" si="62"/>
        <v>0</v>
      </c>
      <c r="H413" s="4">
        <f>ROUND(357060955.07,2)</f>
        <v>357060955.07</v>
      </c>
      <c r="I413" s="4">
        <f t="shared" si="64"/>
        <v>0</v>
      </c>
      <c r="J413" s="4">
        <f>ROUND(357060955.07,2)</f>
        <v>357060955.07</v>
      </c>
      <c r="K413" s="4">
        <f t="shared" si="63"/>
        <v>0</v>
      </c>
    </row>
    <row r="414" spans="1:11" ht="25.5">
      <c r="A414" s="2" t="s">
        <v>151</v>
      </c>
      <c r="B414" s="3" t="s">
        <v>1160</v>
      </c>
      <c r="C414" s="3" t="s">
        <v>114</v>
      </c>
      <c r="D414" s="4">
        <f>ROUND(59074787.36,2)</f>
        <v>59074787.36</v>
      </c>
      <c r="E414" s="4">
        <f t="shared" si="61"/>
        <v>0</v>
      </c>
      <c r="F414" s="4">
        <f>ROUND(59074787.36,2)</f>
        <v>59074787.36</v>
      </c>
      <c r="G414" s="4">
        <f t="shared" si="62"/>
        <v>0</v>
      </c>
      <c r="H414" s="4">
        <f>ROUND(58040339.42,2)</f>
        <v>58040339.42</v>
      </c>
      <c r="I414" s="4">
        <f t="shared" si="64"/>
        <v>0</v>
      </c>
      <c r="J414" s="4">
        <f>ROUND(58040339.42,2)</f>
        <v>58040339.42</v>
      </c>
      <c r="K414" s="4">
        <f t="shared" si="63"/>
        <v>0</v>
      </c>
    </row>
    <row r="415" spans="1:11" ht="25.5">
      <c r="A415" s="2" t="s">
        <v>508</v>
      </c>
      <c r="B415" s="3" t="s">
        <v>544</v>
      </c>
      <c r="C415" s="3" t="s">
        <v>286</v>
      </c>
      <c r="D415" s="4">
        <f>ROUND(13332049.43,2)</f>
        <v>13332049.43</v>
      </c>
      <c r="E415" s="4">
        <f t="shared" si="61"/>
        <v>0</v>
      </c>
      <c r="F415" s="4">
        <f>ROUND(13332049.43,2)</f>
        <v>13332049.43</v>
      </c>
      <c r="G415" s="4">
        <f t="shared" si="62"/>
        <v>0</v>
      </c>
      <c r="H415" s="4">
        <f>ROUND(13332030.21,2)</f>
        <v>13332030.21</v>
      </c>
      <c r="I415" s="4">
        <f t="shared" si="64"/>
        <v>0</v>
      </c>
      <c r="J415" s="4">
        <f>ROUND(13332030.21,2)</f>
        <v>13332030.21</v>
      </c>
      <c r="K415" s="4">
        <f t="shared" si="63"/>
        <v>0</v>
      </c>
    </row>
    <row r="416" spans="1:11" ht="25.5">
      <c r="A416" s="2" t="s">
        <v>536</v>
      </c>
      <c r="B416" s="3" t="s">
        <v>320</v>
      </c>
      <c r="C416" s="3" t="s">
        <v>867</v>
      </c>
      <c r="D416" s="4">
        <f>ROUND(13332049.43,2)</f>
        <v>13332049.43</v>
      </c>
      <c r="E416" s="4">
        <f t="shared" si="61"/>
        <v>0</v>
      </c>
      <c r="F416" s="4">
        <f>ROUND(13332049.43,2)</f>
        <v>13332049.43</v>
      </c>
      <c r="G416" s="4">
        <f t="shared" si="62"/>
        <v>0</v>
      </c>
      <c r="H416" s="4">
        <f>ROUND(13332030.21,2)</f>
        <v>13332030.21</v>
      </c>
      <c r="I416" s="4">
        <f t="shared" si="64"/>
        <v>0</v>
      </c>
      <c r="J416" s="4">
        <f>ROUND(13332030.21,2)</f>
        <v>13332030.21</v>
      </c>
      <c r="K416" s="4">
        <f t="shared" si="63"/>
        <v>0</v>
      </c>
    </row>
    <row r="417" spans="1:11" ht="38.25">
      <c r="A417" s="2" t="s">
        <v>216</v>
      </c>
      <c r="B417" s="3" t="s">
        <v>1133</v>
      </c>
      <c r="C417" s="3" t="s">
        <v>149</v>
      </c>
      <c r="D417" s="4">
        <f>ROUND(45742737.93,2)</f>
        <v>45742737.93</v>
      </c>
      <c r="E417" s="4">
        <f t="shared" si="61"/>
        <v>0</v>
      </c>
      <c r="F417" s="4">
        <f>ROUND(45742737.93,2)</f>
        <v>45742737.93</v>
      </c>
      <c r="G417" s="4">
        <f t="shared" si="62"/>
        <v>0</v>
      </c>
      <c r="H417" s="4">
        <f>ROUND(44708309.21,2)</f>
        <v>44708309.21</v>
      </c>
      <c r="I417" s="4">
        <f t="shared" si="64"/>
        <v>0</v>
      </c>
      <c r="J417" s="4">
        <f>ROUND(44708309.21,2)</f>
        <v>44708309.21</v>
      </c>
      <c r="K417" s="4">
        <f t="shared" si="63"/>
        <v>0</v>
      </c>
    </row>
    <row r="418" spans="1:11" ht="63.75">
      <c r="A418" s="2" t="s">
        <v>897</v>
      </c>
      <c r="B418" s="3" t="s">
        <v>478</v>
      </c>
      <c r="C418" s="3" t="s">
        <v>869</v>
      </c>
      <c r="D418" s="4">
        <f>ROUND(45742737.93,2)</f>
        <v>45742737.93</v>
      </c>
      <c r="E418" s="4">
        <f t="shared" si="61"/>
        <v>0</v>
      </c>
      <c r="F418" s="4">
        <f>ROUND(45742737.93,2)</f>
        <v>45742737.93</v>
      </c>
      <c r="G418" s="4">
        <f t="shared" si="62"/>
        <v>0</v>
      </c>
      <c r="H418" s="4">
        <f>ROUND(44708309.21,2)</f>
        <v>44708309.21</v>
      </c>
      <c r="I418" s="4">
        <f t="shared" si="64"/>
        <v>0</v>
      </c>
      <c r="J418" s="4">
        <f>ROUND(44708309.21,2)</f>
        <v>44708309.21</v>
      </c>
      <c r="K418" s="4">
        <f t="shared" si="63"/>
        <v>0</v>
      </c>
    </row>
    <row r="419" spans="1:11" ht="38.25">
      <c r="A419" s="2" t="s">
        <v>1064</v>
      </c>
      <c r="B419" s="3" t="s">
        <v>920</v>
      </c>
      <c r="C419" s="3" t="s">
        <v>926</v>
      </c>
      <c r="D419" s="4">
        <f>ROUND(323870593.89,2)</f>
        <v>323870593.89</v>
      </c>
      <c r="E419" s="4">
        <f aca="true" t="shared" si="65" ref="E419:E447">ROUND(0,2)</f>
        <v>0</v>
      </c>
      <c r="F419" s="4">
        <f>ROUND(323870593.89,2)</f>
        <v>323870593.89</v>
      </c>
      <c r="G419" s="4">
        <f t="shared" si="62"/>
        <v>0</v>
      </c>
      <c r="H419" s="4">
        <f>ROUND(299020615.65,2)</f>
        <v>299020615.65</v>
      </c>
      <c r="I419" s="4">
        <f t="shared" si="64"/>
        <v>0</v>
      </c>
      <c r="J419" s="4">
        <f>ROUND(299020615.65,2)</f>
        <v>299020615.65</v>
      </c>
      <c r="K419" s="4">
        <f t="shared" si="63"/>
        <v>0</v>
      </c>
    </row>
    <row r="420" spans="1:11" ht="38.25">
      <c r="A420" s="2" t="s">
        <v>355</v>
      </c>
      <c r="B420" s="3" t="s">
        <v>594</v>
      </c>
      <c r="C420" s="3" t="s">
        <v>1106</v>
      </c>
      <c r="D420" s="4">
        <f>ROUND(323870593.89,2)</f>
        <v>323870593.89</v>
      </c>
      <c r="E420" s="4">
        <f t="shared" si="65"/>
        <v>0</v>
      </c>
      <c r="F420" s="4">
        <f>ROUND(323870593.89,2)</f>
        <v>323870593.89</v>
      </c>
      <c r="G420" s="4">
        <f t="shared" si="62"/>
        <v>0</v>
      </c>
      <c r="H420" s="4">
        <f>ROUND(299020615.65,2)</f>
        <v>299020615.65</v>
      </c>
      <c r="I420" s="4">
        <f t="shared" si="64"/>
        <v>0</v>
      </c>
      <c r="J420" s="4">
        <f>ROUND(299020615.65,2)</f>
        <v>299020615.65</v>
      </c>
      <c r="K420" s="4">
        <f t="shared" si="63"/>
        <v>0</v>
      </c>
    </row>
    <row r="421" spans="1:11" ht="25.5">
      <c r="A421" s="2" t="s">
        <v>88</v>
      </c>
      <c r="B421" s="3" t="s">
        <v>566</v>
      </c>
      <c r="C421" s="3" t="s">
        <v>1174</v>
      </c>
      <c r="D421" s="4">
        <f>ROUND(27945201,2)</f>
        <v>27945201</v>
      </c>
      <c r="E421" s="4">
        <f t="shared" si="65"/>
        <v>0</v>
      </c>
      <c r="F421" s="4">
        <f>ROUND(25803810,2)</f>
        <v>25803810</v>
      </c>
      <c r="G421" s="4">
        <f>ROUND(2141391,2)</f>
        <v>2141391</v>
      </c>
      <c r="H421" s="4">
        <f>ROUND(21045114.9,2)</f>
        <v>21045114.9</v>
      </c>
      <c r="I421" s="4">
        <f t="shared" si="64"/>
        <v>0</v>
      </c>
      <c r="J421" s="4">
        <f>ROUND(19087685.28,2)</f>
        <v>19087685.28</v>
      </c>
      <c r="K421" s="4">
        <f>ROUND(1957429.62,2)</f>
        <v>1957429.62</v>
      </c>
    </row>
    <row r="422" spans="1:11" ht="25.5">
      <c r="A422" s="2" t="s">
        <v>828</v>
      </c>
      <c r="B422" s="3" t="s">
        <v>102</v>
      </c>
      <c r="C422" s="3" t="s">
        <v>114</v>
      </c>
      <c r="D422" s="4">
        <f>ROUND(27945201,2)</f>
        <v>27945201</v>
      </c>
      <c r="E422" s="4">
        <f t="shared" si="65"/>
        <v>0</v>
      </c>
      <c r="F422" s="4">
        <f>ROUND(25803810,2)</f>
        <v>25803810</v>
      </c>
      <c r="G422" s="4">
        <f>ROUND(2141391,2)</f>
        <v>2141391</v>
      </c>
      <c r="H422" s="4">
        <f>ROUND(21045114.9,2)</f>
        <v>21045114.9</v>
      </c>
      <c r="I422" s="4">
        <f t="shared" si="64"/>
        <v>0</v>
      </c>
      <c r="J422" s="4">
        <f>ROUND(19087685.28,2)</f>
        <v>19087685.28</v>
      </c>
      <c r="K422" s="4">
        <f>ROUND(1957429.62,2)</f>
        <v>1957429.62</v>
      </c>
    </row>
    <row r="423" spans="1:11" ht="25.5">
      <c r="A423" s="2" t="s">
        <v>153</v>
      </c>
      <c r="B423" s="3" t="s">
        <v>704</v>
      </c>
      <c r="C423" s="3" t="s">
        <v>286</v>
      </c>
      <c r="D423" s="4">
        <f>ROUND(1728000,2)</f>
        <v>1728000</v>
      </c>
      <c r="E423" s="4">
        <f t="shared" si="65"/>
        <v>0</v>
      </c>
      <c r="F423" s="4">
        <f>ROUND(1728000,2)</f>
        <v>1728000</v>
      </c>
      <c r="G423" s="4">
        <f>ROUND(0,2)</f>
        <v>0</v>
      </c>
      <c r="H423" s="4">
        <f>ROUND(1231950.63,2)</f>
        <v>1231950.63</v>
      </c>
      <c r="I423" s="4">
        <f t="shared" si="64"/>
        <v>0</v>
      </c>
      <c r="J423" s="4">
        <f>ROUND(1231950.63,2)</f>
        <v>1231950.63</v>
      </c>
      <c r="K423" s="4">
        <f>ROUND(0,2)</f>
        <v>0</v>
      </c>
    </row>
    <row r="424" spans="1:11" ht="25.5">
      <c r="A424" s="2" t="s">
        <v>226</v>
      </c>
      <c r="B424" s="3" t="s">
        <v>762</v>
      </c>
      <c r="C424" s="3" t="s">
        <v>867</v>
      </c>
      <c r="D424" s="4">
        <f>ROUND(1728000,2)</f>
        <v>1728000</v>
      </c>
      <c r="E424" s="4">
        <f t="shared" si="65"/>
        <v>0</v>
      </c>
      <c r="F424" s="4">
        <f>ROUND(1728000,2)</f>
        <v>1728000</v>
      </c>
      <c r="G424" s="4">
        <f>ROUND(0,2)</f>
        <v>0</v>
      </c>
      <c r="H424" s="4">
        <f>ROUND(1231950.63,2)</f>
        <v>1231950.63</v>
      </c>
      <c r="I424" s="4">
        <f t="shared" si="64"/>
        <v>0</v>
      </c>
      <c r="J424" s="4">
        <f>ROUND(1231950.63,2)</f>
        <v>1231950.63</v>
      </c>
      <c r="K424" s="4">
        <f>ROUND(0,2)</f>
        <v>0</v>
      </c>
    </row>
    <row r="425" spans="1:11" ht="38.25">
      <c r="A425" s="2" t="s">
        <v>185</v>
      </c>
      <c r="B425" s="3" t="s">
        <v>77</v>
      </c>
      <c r="C425" s="3" t="s">
        <v>149</v>
      </c>
      <c r="D425" s="4">
        <f>ROUND(218000,2)</f>
        <v>218000</v>
      </c>
      <c r="E425" s="4">
        <f t="shared" si="65"/>
        <v>0</v>
      </c>
      <c r="F425" s="4">
        <f>ROUND(218000,2)</f>
        <v>218000</v>
      </c>
      <c r="G425" s="4">
        <f>ROUND(0,2)</f>
        <v>0</v>
      </c>
      <c r="H425" s="4">
        <f>ROUND(218000,2)</f>
        <v>218000</v>
      </c>
      <c r="I425" s="4">
        <f t="shared" si="64"/>
        <v>0</v>
      </c>
      <c r="J425" s="4">
        <f>ROUND(218000,2)</f>
        <v>218000</v>
      </c>
      <c r="K425" s="4">
        <f>ROUND(0,2)</f>
        <v>0</v>
      </c>
    </row>
    <row r="426" spans="1:11" ht="89.25">
      <c r="A426" s="2" t="s">
        <v>217</v>
      </c>
      <c r="B426" s="3" t="s">
        <v>299</v>
      </c>
      <c r="C426" s="3" t="s">
        <v>364</v>
      </c>
      <c r="D426" s="4">
        <f>ROUND(218000,2)</f>
        <v>218000</v>
      </c>
      <c r="E426" s="4">
        <f t="shared" si="65"/>
        <v>0</v>
      </c>
      <c r="F426" s="4">
        <f>ROUND(218000,2)</f>
        <v>218000</v>
      </c>
      <c r="G426" s="4">
        <f>ROUND(0,2)</f>
        <v>0</v>
      </c>
      <c r="H426" s="4">
        <f>ROUND(218000,2)</f>
        <v>218000</v>
      </c>
      <c r="I426" s="4">
        <f t="shared" si="64"/>
        <v>0</v>
      </c>
      <c r="J426" s="4">
        <f>ROUND(218000,2)</f>
        <v>218000</v>
      </c>
      <c r="K426" s="4">
        <f>ROUND(0,2)</f>
        <v>0</v>
      </c>
    </row>
    <row r="427" spans="1:11" ht="25.5">
      <c r="A427" s="2" t="s">
        <v>388</v>
      </c>
      <c r="B427" s="3" t="s">
        <v>690</v>
      </c>
      <c r="C427" s="3" t="s">
        <v>319</v>
      </c>
      <c r="D427" s="4">
        <f>ROUND(25999201,2)</f>
        <v>25999201</v>
      </c>
      <c r="E427" s="4">
        <f t="shared" si="65"/>
        <v>0</v>
      </c>
      <c r="F427" s="4">
        <f>ROUND(23857810,2)</f>
        <v>23857810</v>
      </c>
      <c r="G427" s="4">
        <f>ROUND(2141391,2)</f>
        <v>2141391</v>
      </c>
      <c r="H427" s="4">
        <f>ROUND(19595164.27,2)</f>
        <v>19595164.27</v>
      </c>
      <c r="I427" s="4">
        <f t="shared" si="64"/>
        <v>0</v>
      </c>
      <c r="J427" s="4">
        <f>ROUND(17637734.65,2)</f>
        <v>17637734.65</v>
      </c>
      <c r="K427" s="4">
        <f>ROUND(1957429.62,2)</f>
        <v>1957429.62</v>
      </c>
    </row>
    <row r="428" spans="1:11" ht="51">
      <c r="A428" s="2" t="s">
        <v>577</v>
      </c>
      <c r="B428" s="3" t="s">
        <v>898</v>
      </c>
      <c r="C428" s="3" t="s">
        <v>131</v>
      </c>
      <c r="D428" s="4">
        <f>ROUND(20074910,2)</f>
        <v>20074910</v>
      </c>
      <c r="E428" s="4">
        <f t="shared" si="65"/>
        <v>0</v>
      </c>
      <c r="F428" s="4">
        <f>ROUND(19772810,2)</f>
        <v>19772810</v>
      </c>
      <c r="G428" s="4">
        <f>ROUND(302100,2)</f>
        <v>302100</v>
      </c>
      <c r="H428" s="4">
        <f>ROUND(14677692.79,2)</f>
        <v>14677692.79</v>
      </c>
      <c r="I428" s="4">
        <f t="shared" si="64"/>
        <v>0</v>
      </c>
      <c r="J428" s="4">
        <f>ROUND(14425635.79,2)</f>
        <v>14425635.79</v>
      </c>
      <c r="K428" s="4">
        <f>ROUND(252057,2)</f>
        <v>252057</v>
      </c>
    </row>
    <row r="429" spans="1:11" ht="76.5">
      <c r="A429" s="2" t="s">
        <v>1109</v>
      </c>
      <c r="B429" s="3" t="s">
        <v>190</v>
      </c>
      <c r="C429" s="3" t="s">
        <v>221</v>
      </c>
      <c r="D429" s="4">
        <f>ROUND(5924291,2)</f>
        <v>5924291</v>
      </c>
      <c r="E429" s="4">
        <f t="shared" si="65"/>
        <v>0</v>
      </c>
      <c r="F429" s="4">
        <f>ROUND(4085000,2)</f>
        <v>4085000</v>
      </c>
      <c r="G429" s="4">
        <f>ROUND(1839291,2)</f>
        <v>1839291</v>
      </c>
      <c r="H429" s="4">
        <f>ROUND(4917471.48,2)</f>
        <v>4917471.48</v>
      </c>
      <c r="I429" s="4">
        <f t="shared" si="64"/>
        <v>0</v>
      </c>
      <c r="J429" s="4">
        <f>ROUND(3212098.86,2)</f>
        <v>3212098.86</v>
      </c>
      <c r="K429" s="4">
        <f>ROUND(1705372.62,2)</f>
        <v>1705372.62</v>
      </c>
    </row>
    <row r="430" spans="1:11" ht="25.5">
      <c r="A430" s="2" t="s">
        <v>292</v>
      </c>
      <c r="B430" s="3" t="s">
        <v>298</v>
      </c>
      <c r="C430" s="3" t="s">
        <v>842</v>
      </c>
      <c r="D430" s="4">
        <f>ROUND(5924291,2)</f>
        <v>5924291</v>
      </c>
      <c r="E430" s="4">
        <f t="shared" si="65"/>
        <v>0</v>
      </c>
      <c r="F430" s="4">
        <f>ROUND(4085000,2)</f>
        <v>4085000</v>
      </c>
      <c r="G430" s="4">
        <f>ROUND(1839291,2)</f>
        <v>1839291</v>
      </c>
      <c r="H430" s="4">
        <f>ROUND(4917471.48,2)</f>
        <v>4917471.48</v>
      </c>
      <c r="I430" s="4">
        <f t="shared" si="64"/>
        <v>0</v>
      </c>
      <c r="J430" s="4">
        <f>ROUND(3212098.86,2)</f>
        <v>3212098.86</v>
      </c>
      <c r="K430" s="4">
        <f>ROUND(1705372.62,2)</f>
        <v>1705372.62</v>
      </c>
    </row>
    <row r="431" spans="1:11" ht="25.5">
      <c r="A431" s="2" t="s">
        <v>808</v>
      </c>
      <c r="B431" s="3" t="s">
        <v>386</v>
      </c>
      <c r="C431" s="3" t="s">
        <v>114</v>
      </c>
      <c r="D431" s="4">
        <f>ROUND(5924291,2)</f>
        <v>5924291</v>
      </c>
      <c r="E431" s="4">
        <f t="shared" si="65"/>
        <v>0</v>
      </c>
      <c r="F431" s="4">
        <f>ROUND(4085000,2)</f>
        <v>4085000</v>
      </c>
      <c r="G431" s="4">
        <f>ROUND(1839291,2)</f>
        <v>1839291</v>
      </c>
      <c r="H431" s="4">
        <f>ROUND(4917471.48,2)</f>
        <v>4917471.48</v>
      </c>
      <c r="I431" s="4">
        <f t="shared" si="64"/>
        <v>0</v>
      </c>
      <c r="J431" s="4">
        <f>ROUND(3212098.86,2)</f>
        <v>3212098.86</v>
      </c>
      <c r="K431" s="4">
        <f>ROUND(1705372.62,2)</f>
        <v>1705372.62</v>
      </c>
    </row>
    <row r="432" spans="1:11" ht="25.5">
      <c r="A432" s="2" t="s">
        <v>195</v>
      </c>
      <c r="B432" s="3" t="s">
        <v>1014</v>
      </c>
      <c r="C432" s="3" t="s">
        <v>319</v>
      </c>
      <c r="D432" s="4">
        <f>ROUND(5924291,2)</f>
        <v>5924291</v>
      </c>
      <c r="E432" s="4">
        <f t="shared" si="65"/>
        <v>0</v>
      </c>
      <c r="F432" s="4">
        <f>ROUND(4085000,2)</f>
        <v>4085000</v>
      </c>
      <c r="G432" s="4">
        <f>ROUND(1839291,2)</f>
        <v>1839291</v>
      </c>
      <c r="H432" s="4">
        <f>ROUND(4917471.48,2)</f>
        <v>4917471.48</v>
      </c>
      <c r="I432" s="4">
        <f t="shared" si="64"/>
        <v>0</v>
      </c>
      <c r="J432" s="4">
        <f>ROUND(3212098.86,2)</f>
        <v>3212098.86</v>
      </c>
      <c r="K432" s="4">
        <f>ROUND(1705372.62,2)</f>
        <v>1705372.62</v>
      </c>
    </row>
    <row r="433" spans="1:11" ht="76.5">
      <c r="A433" s="2" t="s">
        <v>462</v>
      </c>
      <c r="B433" s="3" t="s">
        <v>513</v>
      </c>
      <c r="C433" s="3" t="s">
        <v>221</v>
      </c>
      <c r="D433" s="4">
        <f>ROUND(5924291,2)</f>
        <v>5924291</v>
      </c>
      <c r="E433" s="4">
        <f t="shared" si="65"/>
        <v>0</v>
      </c>
      <c r="F433" s="4">
        <f>ROUND(4085000,2)</f>
        <v>4085000</v>
      </c>
      <c r="G433" s="4">
        <f>ROUND(1839291,2)</f>
        <v>1839291</v>
      </c>
      <c r="H433" s="4">
        <f>ROUND(4917471.48,2)</f>
        <v>4917471.48</v>
      </c>
      <c r="I433" s="4">
        <f aca="true" t="shared" si="66" ref="I433:I447">ROUND(0,2)</f>
        <v>0</v>
      </c>
      <c r="J433" s="4">
        <f>ROUND(3212098.86,2)</f>
        <v>3212098.86</v>
      </c>
      <c r="K433" s="4">
        <f>ROUND(1705372.62,2)</f>
        <v>1705372.62</v>
      </c>
    </row>
    <row r="434" spans="1:11" ht="38.25">
      <c r="A434" s="2" t="s">
        <v>184</v>
      </c>
      <c r="B434" s="3" t="s">
        <v>844</v>
      </c>
      <c r="C434" s="3" t="s">
        <v>413</v>
      </c>
      <c r="D434" s="4">
        <f>ROUND(8975670,2)</f>
        <v>8975670</v>
      </c>
      <c r="E434" s="4">
        <f t="shared" si="65"/>
        <v>0</v>
      </c>
      <c r="F434" s="4">
        <f>ROUND(8673570,2)</f>
        <v>8673570</v>
      </c>
      <c r="G434" s="4">
        <f>ROUND(302100,2)</f>
        <v>302100</v>
      </c>
      <c r="H434" s="4">
        <f>ROUND(6926112,2)</f>
        <v>6926112</v>
      </c>
      <c r="I434" s="4">
        <f t="shared" si="66"/>
        <v>0</v>
      </c>
      <c r="J434" s="4">
        <f>ROUND(6674055,2)</f>
        <v>6674055</v>
      </c>
      <c r="K434" s="4">
        <f>ROUND(252057,2)</f>
        <v>252057</v>
      </c>
    </row>
    <row r="435" spans="1:11" ht="25.5">
      <c r="A435" s="2" t="s">
        <v>913</v>
      </c>
      <c r="B435" s="3" t="s">
        <v>1044</v>
      </c>
      <c r="C435" s="3" t="s">
        <v>114</v>
      </c>
      <c r="D435" s="4">
        <f>ROUND(8975670,2)</f>
        <v>8975670</v>
      </c>
      <c r="E435" s="4">
        <f t="shared" si="65"/>
        <v>0</v>
      </c>
      <c r="F435" s="4">
        <f>ROUND(8673570,2)</f>
        <v>8673570</v>
      </c>
      <c r="G435" s="4">
        <f>ROUND(302100,2)</f>
        <v>302100</v>
      </c>
      <c r="H435" s="4">
        <f>ROUND(6926112,2)</f>
        <v>6926112</v>
      </c>
      <c r="I435" s="4">
        <f t="shared" si="66"/>
        <v>0</v>
      </c>
      <c r="J435" s="4">
        <f>ROUND(6674055,2)</f>
        <v>6674055</v>
      </c>
      <c r="K435" s="4">
        <f>ROUND(252057,2)</f>
        <v>252057</v>
      </c>
    </row>
    <row r="436" spans="1:11" ht="25.5">
      <c r="A436" s="2" t="s">
        <v>278</v>
      </c>
      <c r="B436" s="3" t="s">
        <v>438</v>
      </c>
      <c r="C436" s="3" t="s">
        <v>319</v>
      </c>
      <c r="D436" s="4">
        <f>ROUND(8975670,2)</f>
        <v>8975670</v>
      </c>
      <c r="E436" s="4">
        <f t="shared" si="65"/>
        <v>0</v>
      </c>
      <c r="F436" s="4">
        <f>ROUND(8673570,2)</f>
        <v>8673570</v>
      </c>
      <c r="G436" s="4">
        <f>ROUND(302100,2)</f>
        <v>302100</v>
      </c>
      <c r="H436" s="4">
        <f>ROUND(6926112,2)</f>
        <v>6926112</v>
      </c>
      <c r="I436" s="4">
        <f t="shared" si="66"/>
        <v>0</v>
      </c>
      <c r="J436" s="4">
        <f>ROUND(6674055,2)</f>
        <v>6674055</v>
      </c>
      <c r="K436" s="4">
        <f>ROUND(252057,2)</f>
        <v>252057</v>
      </c>
    </row>
    <row r="437" spans="1:11" ht="51">
      <c r="A437" s="2" t="s">
        <v>354</v>
      </c>
      <c r="B437" s="3" t="s">
        <v>557</v>
      </c>
      <c r="C437" s="3" t="s">
        <v>131</v>
      </c>
      <c r="D437" s="4">
        <f>ROUND(8975670,2)</f>
        <v>8975670</v>
      </c>
      <c r="E437" s="4">
        <f t="shared" si="65"/>
        <v>0</v>
      </c>
      <c r="F437" s="4">
        <f>ROUND(8673570,2)</f>
        <v>8673570</v>
      </c>
      <c r="G437" s="4">
        <f>ROUND(302100,2)</f>
        <v>302100</v>
      </c>
      <c r="H437" s="4">
        <f>ROUND(6926112,2)</f>
        <v>6926112</v>
      </c>
      <c r="I437" s="4">
        <f t="shared" si="66"/>
        <v>0</v>
      </c>
      <c r="J437" s="4">
        <f>ROUND(6674055,2)</f>
        <v>6674055</v>
      </c>
      <c r="K437" s="4">
        <f>ROUND(252057,2)</f>
        <v>252057</v>
      </c>
    </row>
    <row r="438" spans="1:11" ht="25.5">
      <c r="A438" s="2" t="s">
        <v>681</v>
      </c>
      <c r="B438" s="3" t="s">
        <v>152</v>
      </c>
      <c r="C438" s="3" t="s">
        <v>644</v>
      </c>
      <c r="D438" s="4">
        <f>ROUND(12827240,2)</f>
        <v>12827240</v>
      </c>
      <c r="E438" s="4">
        <f t="shared" si="65"/>
        <v>0</v>
      </c>
      <c r="F438" s="4">
        <f>ROUND(12827240,2)</f>
        <v>12827240</v>
      </c>
      <c r="G438" s="4">
        <f aca="true" t="shared" si="67" ref="G438:G447">ROUND(0,2)</f>
        <v>0</v>
      </c>
      <c r="H438" s="4">
        <f>ROUND(8983531.42,2)</f>
        <v>8983531.42</v>
      </c>
      <c r="I438" s="4">
        <f t="shared" si="66"/>
        <v>0</v>
      </c>
      <c r="J438" s="4">
        <f>ROUND(8983531.42,2)</f>
        <v>8983531.42</v>
      </c>
      <c r="K438" s="4">
        <f aca="true" t="shared" si="68" ref="K438:K447">ROUND(0,2)</f>
        <v>0</v>
      </c>
    </row>
    <row r="439" spans="1:11" ht="25.5">
      <c r="A439" s="2" t="s">
        <v>242</v>
      </c>
      <c r="B439" s="3" t="s">
        <v>380</v>
      </c>
      <c r="C439" s="3" t="s">
        <v>114</v>
      </c>
      <c r="D439" s="4">
        <f>ROUND(12827240,2)</f>
        <v>12827240</v>
      </c>
      <c r="E439" s="4">
        <f t="shared" si="65"/>
        <v>0</v>
      </c>
      <c r="F439" s="4">
        <f>ROUND(12827240,2)</f>
        <v>12827240</v>
      </c>
      <c r="G439" s="4">
        <f t="shared" si="67"/>
        <v>0</v>
      </c>
      <c r="H439" s="4">
        <f>ROUND(8983531.42,2)</f>
        <v>8983531.42</v>
      </c>
      <c r="I439" s="4">
        <f t="shared" si="66"/>
        <v>0</v>
      </c>
      <c r="J439" s="4">
        <f>ROUND(8983531.42,2)</f>
        <v>8983531.42</v>
      </c>
      <c r="K439" s="4">
        <f t="shared" si="68"/>
        <v>0</v>
      </c>
    </row>
    <row r="440" spans="1:11" ht="25.5">
      <c r="A440" s="2" t="s">
        <v>896</v>
      </c>
      <c r="B440" s="3" t="s">
        <v>985</v>
      </c>
      <c r="C440" s="3" t="s">
        <v>286</v>
      </c>
      <c r="D440" s="4">
        <f>ROUND(1728000,2)</f>
        <v>1728000</v>
      </c>
      <c r="E440" s="4">
        <f t="shared" si="65"/>
        <v>0</v>
      </c>
      <c r="F440" s="4">
        <f>ROUND(1728000,2)</f>
        <v>1728000</v>
      </c>
      <c r="G440" s="4">
        <f t="shared" si="67"/>
        <v>0</v>
      </c>
      <c r="H440" s="4">
        <f>ROUND(1231950.63,2)</f>
        <v>1231950.63</v>
      </c>
      <c r="I440" s="4">
        <f t="shared" si="66"/>
        <v>0</v>
      </c>
      <c r="J440" s="4">
        <f>ROUND(1231950.63,2)</f>
        <v>1231950.63</v>
      </c>
      <c r="K440" s="4">
        <f t="shared" si="68"/>
        <v>0</v>
      </c>
    </row>
    <row r="441" spans="1:11" ht="25.5">
      <c r="A441" s="2" t="s">
        <v>1076</v>
      </c>
      <c r="B441" s="3" t="s">
        <v>1168</v>
      </c>
      <c r="C441" s="3" t="s">
        <v>867</v>
      </c>
      <c r="D441" s="4">
        <f>ROUND(1728000,2)</f>
        <v>1728000</v>
      </c>
      <c r="E441" s="4">
        <f t="shared" si="65"/>
        <v>0</v>
      </c>
      <c r="F441" s="4">
        <f>ROUND(1728000,2)</f>
        <v>1728000</v>
      </c>
      <c r="G441" s="4">
        <f t="shared" si="67"/>
        <v>0</v>
      </c>
      <c r="H441" s="4">
        <f>ROUND(1231950.63,2)</f>
        <v>1231950.63</v>
      </c>
      <c r="I441" s="4">
        <f t="shared" si="66"/>
        <v>0</v>
      </c>
      <c r="J441" s="4">
        <f>ROUND(1231950.63,2)</f>
        <v>1231950.63</v>
      </c>
      <c r="K441" s="4">
        <f t="shared" si="68"/>
        <v>0</v>
      </c>
    </row>
    <row r="442" spans="1:11" ht="25.5">
      <c r="A442" s="2" t="s">
        <v>614</v>
      </c>
      <c r="B442" s="3" t="s">
        <v>974</v>
      </c>
      <c r="C442" s="3" t="s">
        <v>319</v>
      </c>
      <c r="D442" s="4">
        <f>ROUND(11099240,2)</f>
        <v>11099240</v>
      </c>
      <c r="E442" s="4">
        <f t="shared" si="65"/>
        <v>0</v>
      </c>
      <c r="F442" s="4">
        <f>ROUND(11099240,2)</f>
        <v>11099240</v>
      </c>
      <c r="G442" s="4">
        <f t="shared" si="67"/>
        <v>0</v>
      </c>
      <c r="H442" s="4">
        <f>ROUND(7751580.79,2)</f>
        <v>7751580.79</v>
      </c>
      <c r="I442" s="4">
        <f t="shared" si="66"/>
        <v>0</v>
      </c>
      <c r="J442" s="4">
        <f>ROUND(7751580.79,2)</f>
        <v>7751580.79</v>
      </c>
      <c r="K442" s="4">
        <f t="shared" si="68"/>
        <v>0</v>
      </c>
    </row>
    <row r="443" spans="1:11" ht="51">
      <c r="A443" s="2" t="s">
        <v>832</v>
      </c>
      <c r="B443" s="3" t="s">
        <v>1083</v>
      </c>
      <c r="C443" s="3" t="s">
        <v>131</v>
      </c>
      <c r="D443" s="4">
        <f>ROUND(11099240,2)</f>
        <v>11099240</v>
      </c>
      <c r="E443" s="4">
        <f t="shared" si="65"/>
        <v>0</v>
      </c>
      <c r="F443" s="4">
        <f>ROUND(11099240,2)</f>
        <v>11099240</v>
      </c>
      <c r="G443" s="4">
        <f t="shared" si="67"/>
        <v>0</v>
      </c>
      <c r="H443" s="4">
        <f>ROUND(7751580.79,2)</f>
        <v>7751580.79</v>
      </c>
      <c r="I443" s="4">
        <f t="shared" si="66"/>
        <v>0</v>
      </c>
      <c r="J443" s="4">
        <f>ROUND(7751580.79,2)</f>
        <v>7751580.79</v>
      </c>
      <c r="K443" s="4">
        <f t="shared" si="68"/>
        <v>0</v>
      </c>
    </row>
    <row r="444" spans="1:11" ht="51">
      <c r="A444" s="2" t="s">
        <v>698</v>
      </c>
      <c r="B444" s="3" t="s">
        <v>823</v>
      </c>
      <c r="C444" s="3" t="s">
        <v>747</v>
      </c>
      <c r="D444" s="4">
        <f>ROUND(218000,2)</f>
        <v>218000</v>
      </c>
      <c r="E444" s="4">
        <f t="shared" si="65"/>
        <v>0</v>
      </c>
      <c r="F444" s="4">
        <f>ROUND(218000,2)</f>
        <v>218000</v>
      </c>
      <c r="G444" s="4">
        <f t="shared" si="67"/>
        <v>0</v>
      </c>
      <c r="H444" s="4">
        <f>ROUND(218000,2)</f>
        <v>218000</v>
      </c>
      <c r="I444" s="4">
        <f t="shared" si="66"/>
        <v>0</v>
      </c>
      <c r="J444" s="4">
        <f>ROUND(218000,2)</f>
        <v>218000</v>
      </c>
      <c r="K444" s="4">
        <f t="shared" si="68"/>
        <v>0</v>
      </c>
    </row>
    <row r="445" spans="1:11" ht="25.5">
      <c r="A445" s="2" t="s">
        <v>180</v>
      </c>
      <c r="B445" s="3" t="s">
        <v>934</v>
      </c>
      <c r="C445" s="3" t="s">
        <v>114</v>
      </c>
      <c r="D445" s="4">
        <f>ROUND(218000,2)</f>
        <v>218000</v>
      </c>
      <c r="E445" s="4">
        <f t="shared" si="65"/>
        <v>0</v>
      </c>
      <c r="F445" s="4">
        <f>ROUND(218000,2)</f>
        <v>218000</v>
      </c>
      <c r="G445" s="4">
        <f t="shared" si="67"/>
        <v>0</v>
      </c>
      <c r="H445" s="4">
        <f>ROUND(218000,2)</f>
        <v>218000</v>
      </c>
      <c r="I445" s="4">
        <f t="shared" si="66"/>
        <v>0</v>
      </c>
      <c r="J445" s="4">
        <f>ROUND(218000,2)</f>
        <v>218000</v>
      </c>
      <c r="K445" s="4">
        <f t="shared" si="68"/>
        <v>0</v>
      </c>
    </row>
    <row r="446" spans="1:11" ht="38.25">
      <c r="A446" s="2" t="s">
        <v>479</v>
      </c>
      <c r="B446" s="3" t="s">
        <v>954</v>
      </c>
      <c r="C446" s="3" t="s">
        <v>149</v>
      </c>
      <c r="D446" s="4">
        <f>ROUND(218000,2)</f>
        <v>218000</v>
      </c>
      <c r="E446" s="4">
        <f t="shared" si="65"/>
        <v>0</v>
      </c>
      <c r="F446" s="4">
        <f>ROUND(218000,2)</f>
        <v>218000</v>
      </c>
      <c r="G446" s="4">
        <f t="shared" si="67"/>
        <v>0</v>
      </c>
      <c r="H446" s="4">
        <f>ROUND(218000,2)</f>
        <v>218000</v>
      </c>
      <c r="I446" s="4">
        <f t="shared" si="66"/>
        <v>0</v>
      </c>
      <c r="J446" s="4">
        <f>ROUND(218000,2)</f>
        <v>218000</v>
      </c>
      <c r="K446" s="4">
        <f t="shared" si="68"/>
        <v>0</v>
      </c>
    </row>
    <row r="447" spans="1:11" ht="89.25">
      <c r="A447" s="2" t="s">
        <v>473</v>
      </c>
      <c r="B447" s="3" t="s">
        <v>1110</v>
      </c>
      <c r="C447" s="3" t="s">
        <v>364</v>
      </c>
      <c r="D447" s="4">
        <f>ROUND(218000,2)</f>
        <v>218000</v>
      </c>
      <c r="E447" s="4">
        <f t="shared" si="65"/>
        <v>0</v>
      </c>
      <c r="F447" s="4">
        <f>ROUND(218000,2)</f>
        <v>218000</v>
      </c>
      <c r="G447" s="4">
        <f t="shared" si="67"/>
        <v>0</v>
      </c>
      <c r="H447" s="4">
        <f>ROUND(218000,2)</f>
        <v>218000</v>
      </c>
      <c r="I447" s="4">
        <f t="shared" si="66"/>
        <v>0</v>
      </c>
      <c r="J447" s="4">
        <f>ROUND(218000,2)</f>
        <v>218000</v>
      </c>
      <c r="K447" s="4">
        <f t="shared" si="68"/>
        <v>0</v>
      </c>
    </row>
    <row r="448" spans="1:11" ht="25.5">
      <c r="A448" s="2" t="s">
        <v>377</v>
      </c>
      <c r="B448" s="3" t="s">
        <v>879</v>
      </c>
      <c r="C448" s="3" t="s">
        <v>866</v>
      </c>
      <c r="D448" s="4">
        <f>ROUND(12792187,2)</f>
        <v>12792187</v>
      </c>
      <c r="E448" s="4">
        <f>ROUND(3000000,2)</f>
        <v>3000000</v>
      </c>
      <c r="F448" s="4">
        <f>ROUND(12489877,2)</f>
        <v>12489877</v>
      </c>
      <c r="G448" s="4">
        <f>ROUND(3302310,2)</f>
        <v>3302310</v>
      </c>
      <c r="H448" s="4">
        <f>ROUND(10181621.52,2)</f>
        <v>10181621.52</v>
      </c>
      <c r="I448" s="4">
        <f>ROUND(900000,2)</f>
        <v>900000</v>
      </c>
      <c r="J448" s="4">
        <f>ROUND(9959014,2)</f>
        <v>9959014</v>
      </c>
      <c r="K448" s="4">
        <f>ROUND(1122607.52,2)</f>
        <v>1122607.52</v>
      </c>
    </row>
    <row r="449" spans="1:11" ht="25.5">
      <c r="A449" s="2" t="s">
        <v>1164</v>
      </c>
      <c r="B449" s="3" t="s">
        <v>1013</v>
      </c>
      <c r="C449" s="3" t="s">
        <v>114</v>
      </c>
      <c r="D449" s="4">
        <f>ROUND(752424,2)</f>
        <v>752424</v>
      </c>
      <c r="E449" s="4">
        <f>ROUND(3000000,2)</f>
        <v>3000000</v>
      </c>
      <c r="F449" s="4">
        <f>ROUND(3470114,2)</f>
        <v>3470114</v>
      </c>
      <c r="G449" s="4">
        <f>ROUND(282310,2)</f>
        <v>282310</v>
      </c>
      <c r="H449" s="4">
        <f>ROUND(648071.52,2)</f>
        <v>648071.52</v>
      </c>
      <c r="I449" s="4">
        <f>ROUND(900000,2)</f>
        <v>900000</v>
      </c>
      <c r="J449" s="4">
        <f>ROUND(1345464,2)</f>
        <v>1345464</v>
      </c>
      <c r="K449" s="4">
        <f>ROUND(202607.52,2)</f>
        <v>202607.52</v>
      </c>
    </row>
    <row r="450" spans="1:11" ht="25.5">
      <c r="A450" s="2" t="s">
        <v>568</v>
      </c>
      <c r="B450" s="3" t="s">
        <v>414</v>
      </c>
      <c r="C450" s="3" t="s">
        <v>286</v>
      </c>
      <c r="D450" s="4">
        <f>ROUND(586124,2)</f>
        <v>586124</v>
      </c>
      <c r="E450" s="4">
        <f>ROUND(0,2)</f>
        <v>0</v>
      </c>
      <c r="F450" s="4">
        <f>ROUND(470114,2)</f>
        <v>470114</v>
      </c>
      <c r="G450" s="4">
        <f>ROUND(116010,2)</f>
        <v>116010</v>
      </c>
      <c r="H450" s="4">
        <f>ROUND(481771.52,2)</f>
        <v>481771.52</v>
      </c>
      <c r="I450" s="4">
        <f>ROUND(0,2)</f>
        <v>0</v>
      </c>
      <c r="J450" s="4">
        <f>ROUND(445464,2)</f>
        <v>445464</v>
      </c>
      <c r="K450" s="4">
        <f>ROUND(36307.52,2)</f>
        <v>36307.52</v>
      </c>
    </row>
    <row r="451" spans="1:11" ht="25.5">
      <c r="A451" s="2" t="s">
        <v>1058</v>
      </c>
      <c r="B451" s="3" t="s">
        <v>460</v>
      </c>
      <c r="C451" s="3" t="s">
        <v>867</v>
      </c>
      <c r="D451" s="4">
        <f>ROUND(586124,2)</f>
        <v>586124</v>
      </c>
      <c r="E451" s="4">
        <f>ROUND(0,2)</f>
        <v>0</v>
      </c>
      <c r="F451" s="4">
        <f>ROUND(470114,2)</f>
        <v>470114</v>
      </c>
      <c r="G451" s="4">
        <f>ROUND(116010,2)</f>
        <v>116010</v>
      </c>
      <c r="H451" s="4">
        <f>ROUND(481771.52,2)</f>
        <v>481771.52</v>
      </c>
      <c r="I451" s="4">
        <f>ROUND(0,2)</f>
        <v>0</v>
      </c>
      <c r="J451" s="4">
        <f>ROUND(445464,2)</f>
        <v>445464</v>
      </c>
      <c r="K451" s="4">
        <f>ROUND(36307.52,2)</f>
        <v>36307.52</v>
      </c>
    </row>
    <row r="452" spans="1:11" ht="38.25">
      <c r="A452" s="2" t="s">
        <v>785</v>
      </c>
      <c r="B452" s="3" t="s">
        <v>701</v>
      </c>
      <c r="C452" s="3" t="s">
        <v>258</v>
      </c>
      <c r="D452" s="4">
        <f>ROUND(0,2)</f>
        <v>0</v>
      </c>
      <c r="E452" s="4">
        <f>ROUND(3000000,2)</f>
        <v>3000000</v>
      </c>
      <c r="F452" s="4">
        <f>ROUND(3000000,2)</f>
        <v>3000000</v>
      </c>
      <c r="G452" s="4">
        <f>ROUND(0,2)</f>
        <v>0</v>
      </c>
      <c r="H452" s="4">
        <f>ROUND(0,2)</f>
        <v>0</v>
      </c>
      <c r="I452" s="4">
        <f>ROUND(900000,2)</f>
        <v>900000</v>
      </c>
      <c r="J452" s="4">
        <f>ROUND(900000,2)</f>
        <v>900000</v>
      </c>
      <c r="K452" s="4">
        <f>ROUND(0,2)</f>
        <v>0</v>
      </c>
    </row>
    <row r="453" spans="1:11" ht="76.5">
      <c r="A453" s="2" t="s">
        <v>230</v>
      </c>
      <c r="B453" s="3" t="s">
        <v>25</v>
      </c>
      <c r="C453" s="3" t="s">
        <v>1192</v>
      </c>
      <c r="D453" s="4">
        <f>ROUND(0,2)</f>
        <v>0</v>
      </c>
      <c r="E453" s="4">
        <f>ROUND(3000000,2)</f>
        <v>3000000</v>
      </c>
      <c r="F453" s="4">
        <f>ROUND(3000000,2)</f>
        <v>3000000</v>
      </c>
      <c r="G453" s="4">
        <f>ROUND(0,2)</f>
        <v>0</v>
      </c>
      <c r="H453" s="4">
        <f>ROUND(0,2)</f>
        <v>0</v>
      </c>
      <c r="I453" s="4">
        <f>ROUND(900000,2)</f>
        <v>900000</v>
      </c>
      <c r="J453" s="4">
        <f>ROUND(900000,2)</f>
        <v>900000</v>
      </c>
      <c r="K453" s="4">
        <f>ROUND(0,2)</f>
        <v>0</v>
      </c>
    </row>
    <row r="454" spans="1:11" ht="25.5">
      <c r="A454" s="2" t="s">
        <v>713</v>
      </c>
      <c r="B454" s="3" t="s">
        <v>748</v>
      </c>
      <c r="C454" s="3" t="s">
        <v>1114</v>
      </c>
      <c r="D454" s="4">
        <f>ROUND(166300,2)</f>
        <v>166300</v>
      </c>
      <c r="E454" s="4">
        <f>ROUND(0,2)</f>
        <v>0</v>
      </c>
      <c r="F454" s="4">
        <f>ROUND(0,2)</f>
        <v>0</v>
      </c>
      <c r="G454" s="4">
        <f>ROUND(166300,2)</f>
        <v>166300</v>
      </c>
      <c r="H454" s="4">
        <f>ROUND(166300,2)</f>
        <v>166300</v>
      </c>
      <c r="I454" s="4">
        <f>ROUND(0,2)</f>
        <v>0</v>
      </c>
      <c r="J454" s="4">
        <f>ROUND(0,2)</f>
        <v>0</v>
      </c>
      <c r="K454" s="4">
        <f>ROUND(166300,2)</f>
        <v>166300</v>
      </c>
    </row>
    <row r="455" spans="1:11" ht="38.25">
      <c r="A455" s="2" t="s">
        <v>19</v>
      </c>
      <c r="B455" s="3" t="s">
        <v>1068</v>
      </c>
      <c r="C455" s="3" t="s">
        <v>926</v>
      </c>
      <c r="D455" s="4">
        <f>ROUND(12039763,2)</f>
        <v>12039763</v>
      </c>
      <c r="E455" s="4">
        <f aca="true" t="shared" si="69" ref="E455:E466">ROUND(0,2)</f>
        <v>0</v>
      </c>
      <c r="F455" s="4">
        <f>ROUND(9019763,2)</f>
        <v>9019763</v>
      </c>
      <c r="G455" s="4">
        <f>ROUND(3020000,2)</f>
        <v>3020000</v>
      </c>
      <c r="H455" s="4">
        <f>ROUND(9533550,2)</f>
        <v>9533550</v>
      </c>
      <c r="I455" s="4">
        <f aca="true" t="shared" si="70" ref="I455:I466">ROUND(0,2)</f>
        <v>0</v>
      </c>
      <c r="J455" s="4">
        <f>ROUND(8613550,2)</f>
        <v>8613550</v>
      </c>
      <c r="K455" s="4">
        <f>ROUND(920000,2)</f>
        <v>920000</v>
      </c>
    </row>
    <row r="456" spans="1:11" ht="38.25">
      <c r="A456" s="2" t="s">
        <v>1093</v>
      </c>
      <c r="B456" s="3" t="s">
        <v>755</v>
      </c>
      <c r="C456" s="3" t="s">
        <v>1106</v>
      </c>
      <c r="D456" s="4">
        <f>ROUND(12039763,2)</f>
        <v>12039763</v>
      </c>
      <c r="E456" s="4">
        <f t="shared" si="69"/>
        <v>0</v>
      </c>
      <c r="F456" s="4">
        <f>ROUND(9019763,2)</f>
        <v>9019763</v>
      </c>
      <c r="G456" s="4">
        <f>ROUND(3020000,2)</f>
        <v>3020000</v>
      </c>
      <c r="H456" s="4">
        <f>ROUND(9533550,2)</f>
        <v>9533550</v>
      </c>
      <c r="I456" s="4">
        <f t="shared" si="70"/>
        <v>0</v>
      </c>
      <c r="J456" s="4">
        <f>ROUND(8613550,2)</f>
        <v>8613550</v>
      </c>
      <c r="K456" s="4">
        <f>ROUND(920000,2)</f>
        <v>920000</v>
      </c>
    </row>
    <row r="457" spans="1:11" ht="25.5">
      <c r="A457" s="2" t="s">
        <v>1007</v>
      </c>
      <c r="B457" s="3" t="s">
        <v>1190</v>
      </c>
      <c r="C457" s="3" t="s">
        <v>833</v>
      </c>
      <c r="D457" s="4">
        <f>ROUND(766414,2)</f>
        <v>766414</v>
      </c>
      <c r="E457" s="4">
        <f t="shared" si="69"/>
        <v>0</v>
      </c>
      <c r="F457" s="4">
        <f>ROUND(470114,2)</f>
        <v>470114</v>
      </c>
      <c r="G457" s="4">
        <f>ROUND(296300,2)</f>
        <v>296300</v>
      </c>
      <c r="H457" s="4">
        <f>ROUND(668071.52,2)</f>
        <v>668071.52</v>
      </c>
      <c r="I457" s="4">
        <f t="shared" si="70"/>
        <v>0</v>
      </c>
      <c r="J457" s="4">
        <f>ROUND(445464,2)</f>
        <v>445464</v>
      </c>
      <c r="K457" s="4">
        <f>ROUND(222607.52,2)</f>
        <v>222607.52</v>
      </c>
    </row>
    <row r="458" spans="1:11" ht="25.5">
      <c r="A458" s="2" t="s">
        <v>340</v>
      </c>
      <c r="B458" s="3" t="s">
        <v>689</v>
      </c>
      <c r="C458" s="3" t="s">
        <v>114</v>
      </c>
      <c r="D458" s="4">
        <f>ROUND(746414,2)</f>
        <v>746414</v>
      </c>
      <c r="E458" s="4">
        <f t="shared" si="69"/>
        <v>0</v>
      </c>
      <c r="F458" s="4">
        <f>ROUND(470114,2)</f>
        <v>470114</v>
      </c>
      <c r="G458" s="4">
        <f>ROUND(276300,2)</f>
        <v>276300</v>
      </c>
      <c r="H458" s="4">
        <f>ROUND(648071.52,2)</f>
        <v>648071.52</v>
      </c>
      <c r="I458" s="4">
        <f t="shared" si="70"/>
        <v>0</v>
      </c>
      <c r="J458" s="4">
        <f>ROUND(445464,2)</f>
        <v>445464</v>
      </c>
      <c r="K458" s="4">
        <f>ROUND(202607.52,2)</f>
        <v>202607.52</v>
      </c>
    </row>
    <row r="459" spans="1:11" ht="25.5">
      <c r="A459" s="2" t="s">
        <v>53</v>
      </c>
      <c r="B459" s="3" t="s">
        <v>76</v>
      </c>
      <c r="C459" s="3" t="s">
        <v>286</v>
      </c>
      <c r="D459" s="4">
        <f>ROUND(580114,2)</f>
        <v>580114</v>
      </c>
      <c r="E459" s="4">
        <f t="shared" si="69"/>
        <v>0</v>
      </c>
      <c r="F459" s="4">
        <f>ROUND(470114,2)</f>
        <v>470114</v>
      </c>
      <c r="G459" s="4">
        <f>ROUND(110000,2)</f>
        <v>110000</v>
      </c>
      <c r="H459" s="4">
        <f>ROUND(481771.52,2)</f>
        <v>481771.52</v>
      </c>
      <c r="I459" s="4">
        <f t="shared" si="70"/>
        <v>0</v>
      </c>
      <c r="J459" s="4">
        <f>ROUND(445464,2)</f>
        <v>445464</v>
      </c>
      <c r="K459" s="4">
        <f>ROUND(36307.52,2)</f>
        <v>36307.52</v>
      </c>
    </row>
    <row r="460" spans="1:11" ht="25.5">
      <c r="A460" s="2" t="s">
        <v>85</v>
      </c>
      <c r="B460" s="3" t="s">
        <v>177</v>
      </c>
      <c r="C460" s="3" t="s">
        <v>867</v>
      </c>
      <c r="D460" s="4">
        <f>ROUND(580114,2)</f>
        <v>580114</v>
      </c>
      <c r="E460" s="4">
        <f t="shared" si="69"/>
        <v>0</v>
      </c>
      <c r="F460" s="4">
        <f>ROUND(470114,2)</f>
        <v>470114</v>
      </c>
      <c r="G460" s="4">
        <f>ROUND(110000,2)</f>
        <v>110000</v>
      </c>
      <c r="H460" s="4">
        <f>ROUND(481771.52,2)</f>
        <v>481771.52</v>
      </c>
      <c r="I460" s="4">
        <f t="shared" si="70"/>
        <v>0</v>
      </c>
      <c r="J460" s="4">
        <f>ROUND(445464,2)</f>
        <v>445464</v>
      </c>
      <c r="K460" s="4">
        <f>ROUND(36307.52,2)</f>
        <v>36307.52</v>
      </c>
    </row>
    <row r="461" spans="1:11" ht="25.5">
      <c r="A461" s="2" t="s">
        <v>119</v>
      </c>
      <c r="B461" s="3" t="s">
        <v>1027</v>
      </c>
      <c r="C461" s="3" t="s">
        <v>1114</v>
      </c>
      <c r="D461" s="4">
        <f>ROUND(166300,2)</f>
        <v>166300</v>
      </c>
      <c r="E461" s="4">
        <f t="shared" si="69"/>
        <v>0</v>
      </c>
      <c r="F461" s="4">
        <f>ROUND(0,2)</f>
        <v>0</v>
      </c>
      <c r="G461" s="4">
        <f>ROUND(166300,2)</f>
        <v>166300</v>
      </c>
      <c r="H461" s="4">
        <f>ROUND(166300,2)</f>
        <v>166300</v>
      </c>
      <c r="I461" s="4">
        <f t="shared" si="70"/>
        <v>0</v>
      </c>
      <c r="J461" s="4">
        <f>ROUND(0,2)</f>
        <v>0</v>
      </c>
      <c r="K461" s="4">
        <f>ROUND(166300,2)</f>
        <v>166300</v>
      </c>
    </row>
    <row r="462" spans="1:11" ht="38.25">
      <c r="A462" s="2" t="s">
        <v>890</v>
      </c>
      <c r="B462" s="3" t="s">
        <v>784</v>
      </c>
      <c r="C462" s="3" t="s">
        <v>926</v>
      </c>
      <c r="D462" s="4">
        <f>ROUND(20000,2)</f>
        <v>20000</v>
      </c>
      <c r="E462" s="4">
        <f t="shared" si="69"/>
        <v>0</v>
      </c>
      <c r="F462" s="4">
        <f>ROUND(0,2)</f>
        <v>0</v>
      </c>
      <c r="G462" s="4">
        <f>ROUND(20000,2)</f>
        <v>20000</v>
      </c>
      <c r="H462" s="4">
        <f>ROUND(20000,2)</f>
        <v>20000</v>
      </c>
      <c r="I462" s="4">
        <f t="shared" si="70"/>
        <v>0</v>
      </c>
      <c r="J462" s="4">
        <f>ROUND(0,2)</f>
        <v>0</v>
      </c>
      <c r="K462" s="4">
        <f>ROUND(20000,2)</f>
        <v>20000</v>
      </c>
    </row>
    <row r="463" spans="1:11" ht="38.25">
      <c r="A463" s="2" t="s">
        <v>214</v>
      </c>
      <c r="B463" s="3" t="s">
        <v>1088</v>
      </c>
      <c r="C463" s="3" t="s">
        <v>1106</v>
      </c>
      <c r="D463" s="4">
        <f>ROUND(20000,2)</f>
        <v>20000</v>
      </c>
      <c r="E463" s="4">
        <f t="shared" si="69"/>
        <v>0</v>
      </c>
      <c r="F463" s="4">
        <f>ROUND(0,2)</f>
        <v>0</v>
      </c>
      <c r="G463" s="4">
        <f>ROUND(20000,2)</f>
        <v>20000</v>
      </c>
      <c r="H463" s="4">
        <f>ROUND(20000,2)</f>
        <v>20000</v>
      </c>
      <c r="I463" s="4">
        <f t="shared" si="70"/>
        <v>0</v>
      </c>
      <c r="J463" s="4">
        <f>ROUND(0,2)</f>
        <v>0</v>
      </c>
      <c r="K463" s="4">
        <f>ROUND(20000,2)</f>
        <v>20000</v>
      </c>
    </row>
    <row r="464" spans="1:11" ht="25.5">
      <c r="A464" s="2" t="s">
        <v>549</v>
      </c>
      <c r="B464" s="3" t="s">
        <v>239</v>
      </c>
      <c r="C464" s="3" t="s">
        <v>1005</v>
      </c>
      <c r="D464" s="4">
        <f>ROUND(8613550,2)</f>
        <v>8613550</v>
      </c>
      <c r="E464" s="4">
        <f t="shared" si="69"/>
        <v>0</v>
      </c>
      <c r="F464" s="4">
        <f>ROUND(8613550,2)</f>
        <v>8613550</v>
      </c>
      <c r="G464" s="4">
        <f>ROUND(0,2)</f>
        <v>0</v>
      </c>
      <c r="H464" s="4">
        <f>ROUND(8613550,2)</f>
        <v>8613550</v>
      </c>
      <c r="I464" s="4">
        <f t="shared" si="70"/>
        <v>0</v>
      </c>
      <c r="J464" s="4">
        <f>ROUND(8613550,2)</f>
        <v>8613550</v>
      </c>
      <c r="K464" s="4">
        <f>ROUND(0,2)</f>
        <v>0</v>
      </c>
    </row>
    <row r="465" spans="1:11" ht="38.25">
      <c r="A465" s="2" t="s">
        <v>966</v>
      </c>
      <c r="B465" s="3" t="s">
        <v>519</v>
      </c>
      <c r="C465" s="3" t="s">
        <v>926</v>
      </c>
      <c r="D465" s="4">
        <f>ROUND(8613550,2)</f>
        <v>8613550</v>
      </c>
      <c r="E465" s="4">
        <f t="shared" si="69"/>
        <v>0</v>
      </c>
      <c r="F465" s="4">
        <f>ROUND(8613550,2)</f>
        <v>8613550</v>
      </c>
      <c r="G465" s="4">
        <f>ROUND(0,2)</f>
        <v>0</v>
      </c>
      <c r="H465" s="4">
        <f>ROUND(8613550,2)</f>
        <v>8613550</v>
      </c>
      <c r="I465" s="4">
        <f t="shared" si="70"/>
        <v>0</v>
      </c>
      <c r="J465" s="4">
        <f>ROUND(8613550,2)</f>
        <v>8613550</v>
      </c>
      <c r="K465" s="4">
        <f>ROUND(0,2)</f>
        <v>0</v>
      </c>
    </row>
    <row r="466" spans="1:11" ht="38.25">
      <c r="A466" s="2" t="s">
        <v>982</v>
      </c>
      <c r="B466" s="3" t="s">
        <v>213</v>
      </c>
      <c r="C466" s="3" t="s">
        <v>1106</v>
      </c>
      <c r="D466" s="4">
        <f>ROUND(8613550,2)</f>
        <v>8613550</v>
      </c>
      <c r="E466" s="4">
        <f t="shared" si="69"/>
        <v>0</v>
      </c>
      <c r="F466" s="4">
        <f>ROUND(8613550,2)</f>
        <v>8613550</v>
      </c>
      <c r="G466" s="4">
        <f>ROUND(0,2)</f>
        <v>0</v>
      </c>
      <c r="H466" s="4">
        <f>ROUND(8613550,2)</f>
        <v>8613550</v>
      </c>
      <c r="I466" s="4">
        <f t="shared" si="70"/>
        <v>0</v>
      </c>
      <c r="J466" s="4">
        <f>ROUND(8613550,2)</f>
        <v>8613550</v>
      </c>
      <c r="K466" s="4">
        <f>ROUND(0,2)</f>
        <v>0</v>
      </c>
    </row>
    <row r="467" spans="1:11" ht="51">
      <c r="A467" s="2" t="s">
        <v>296</v>
      </c>
      <c r="B467" s="3" t="s">
        <v>783</v>
      </c>
      <c r="C467" s="3" t="s">
        <v>817</v>
      </c>
      <c r="D467" s="4">
        <f>ROUND(3412223,2)</f>
        <v>3412223</v>
      </c>
      <c r="E467" s="4">
        <f>ROUND(3000000,2)</f>
        <v>3000000</v>
      </c>
      <c r="F467" s="4">
        <f>ROUND(3406213,2)</f>
        <v>3406213</v>
      </c>
      <c r="G467" s="4">
        <f>ROUND(3006010,2)</f>
        <v>3006010</v>
      </c>
      <c r="H467" s="4">
        <f>ROUND(900000,2)</f>
        <v>900000</v>
      </c>
      <c r="I467" s="4">
        <f>ROUND(900000,2)</f>
        <v>900000</v>
      </c>
      <c r="J467" s="4">
        <f>ROUND(900000,2)</f>
        <v>900000</v>
      </c>
      <c r="K467" s="4">
        <f>ROUND(900000,2)</f>
        <v>900000</v>
      </c>
    </row>
    <row r="468" spans="1:11" ht="25.5">
      <c r="A468" s="2" t="s">
        <v>791</v>
      </c>
      <c r="B468" s="3" t="s">
        <v>969</v>
      </c>
      <c r="C468" s="3" t="s">
        <v>114</v>
      </c>
      <c r="D468" s="4">
        <f>ROUND(6010,2)</f>
        <v>6010</v>
      </c>
      <c r="E468" s="4">
        <f>ROUND(3000000,2)</f>
        <v>3000000</v>
      </c>
      <c r="F468" s="4">
        <f>ROUND(3000000,2)</f>
        <v>3000000</v>
      </c>
      <c r="G468" s="4">
        <f>ROUND(6010,2)</f>
        <v>6010</v>
      </c>
      <c r="H468" s="4">
        <f>ROUND(0,2)</f>
        <v>0</v>
      </c>
      <c r="I468" s="4">
        <f>ROUND(900000,2)</f>
        <v>900000</v>
      </c>
      <c r="J468" s="4">
        <f>ROUND(900000,2)</f>
        <v>900000</v>
      </c>
      <c r="K468" s="4">
        <f>ROUND(0,2)</f>
        <v>0</v>
      </c>
    </row>
    <row r="469" spans="1:11" ht="25.5">
      <c r="A469" s="2" t="s">
        <v>1097</v>
      </c>
      <c r="B469" s="3" t="s">
        <v>365</v>
      </c>
      <c r="C469" s="3" t="s">
        <v>286</v>
      </c>
      <c r="D469" s="4">
        <f>ROUND(6010,2)</f>
        <v>6010</v>
      </c>
      <c r="E469" s="4">
        <f>ROUND(0,2)</f>
        <v>0</v>
      </c>
      <c r="F469" s="4">
        <f>ROUND(0,2)</f>
        <v>0</v>
      </c>
      <c r="G469" s="4">
        <f>ROUND(6010,2)</f>
        <v>6010</v>
      </c>
      <c r="H469" s="4">
        <f>ROUND(0,2)</f>
        <v>0</v>
      </c>
      <c r="I469" s="4">
        <f>ROUND(0,2)</f>
        <v>0</v>
      </c>
      <c r="J469" s="4">
        <f>ROUND(0,2)</f>
        <v>0</v>
      </c>
      <c r="K469" s="4">
        <f>ROUND(0,2)</f>
        <v>0</v>
      </c>
    </row>
    <row r="470" spans="1:11" ht="25.5">
      <c r="A470" s="2" t="s">
        <v>1161</v>
      </c>
      <c r="B470" s="3" t="s">
        <v>582</v>
      </c>
      <c r="C470" s="3" t="s">
        <v>867</v>
      </c>
      <c r="D470" s="4">
        <f>ROUND(6010,2)</f>
        <v>6010</v>
      </c>
      <c r="E470" s="4">
        <f>ROUND(0,2)</f>
        <v>0</v>
      </c>
      <c r="F470" s="4">
        <f>ROUND(0,2)</f>
        <v>0</v>
      </c>
      <c r="G470" s="4">
        <f>ROUND(6010,2)</f>
        <v>6010</v>
      </c>
      <c r="H470" s="4">
        <f>ROUND(0,2)</f>
        <v>0</v>
      </c>
      <c r="I470" s="4">
        <f>ROUND(0,2)</f>
        <v>0</v>
      </c>
      <c r="J470" s="4">
        <f>ROUND(0,2)</f>
        <v>0</v>
      </c>
      <c r="K470" s="4">
        <f>ROUND(0,2)</f>
        <v>0</v>
      </c>
    </row>
    <row r="471" spans="1:11" ht="38.25">
      <c r="A471" s="2" t="s">
        <v>46</v>
      </c>
      <c r="B471" s="3" t="s">
        <v>664</v>
      </c>
      <c r="C471" s="3" t="s">
        <v>258</v>
      </c>
      <c r="D471" s="4">
        <f>ROUND(0,2)</f>
        <v>0</v>
      </c>
      <c r="E471" s="4">
        <f>ROUND(3000000,2)</f>
        <v>3000000</v>
      </c>
      <c r="F471" s="4">
        <f>ROUND(3000000,2)</f>
        <v>3000000</v>
      </c>
      <c r="G471" s="4">
        <f>ROUND(0,2)</f>
        <v>0</v>
      </c>
      <c r="H471" s="4">
        <f>ROUND(0,2)</f>
        <v>0</v>
      </c>
      <c r="I471" s="4">
        <f>ROUND(900000,2)</f>
        <v>900000</v>
      </c>
      <c r="J471" s="4">
        <f>ROUND(900000,2)</f>
        <v>900000</v>
      </c>
      <c r="K471" s="4">
        <f>ROUND(0,2)</f>
        <v>0</v>
      </c>
    </row>
    <row r="472" spans="1:11" ht="76.5">
      <c r="A472" s="2" t="s">
        <v>837</v>
      </c>
      <c r="B472" s="3" t="s">
        <v>124</v>
      </c>
      <c r="C472" s="3" t="s">
        <v>1192</v>
      </c>
      <c r="D472" s="4">
        <f>ROUND(0,2)</f>
        <v>0</v>
      </c>
      <c r="E472" s="4">
        <f>ROUND(3000000,2)</f>
        <v>3000000</v>
      </c>
      <c r="F472" s="4">
        <f>ROUND(3000000,2)</f>
        <v>3000000</v>
      </c>
      <c r="G472" s="4">
        <f>ROUND(0,2)</f>
        <v>0</v>
      </c>
      <c r="H472" s="4">
        <f>ROUND(0,2)</f>
        <v>0</v>
      </c>
      <c r="I472" s="4">
        <f>ROUND(900000,2)</f>
        <v>900000</v>
      </c>
      <c r="J472" s="4">
        <f>ROUND(900000,2)</f>
        <v>900000</v>
      </c>
      <c r="K472" s="4">
        <f>ROUND(0,2)</f>
        <v>0</v>
      </c>
    </row>
    <row r="473" spans="1:11" ht="38.25">
      <c r="A473" s="2" t="s">
        <v>667</v>
      </c>
      <c r="B473" s="3" t="s">
        <v>1189</v>
      </c>
      <c r="C473" s="3" t="s">
        <v>926</v>
      </c>
      <c r="D473" s="4">
        <f>ROUND(3406213,2)</f>
        <v>3406213</v>
      </c>
      <c r="E473" s="4">
        <f>ROUND(0,2)</f>
        <v>0</v>
      </c>
      <c r="F473" s="4">
        <f>ROUND(406213,2)</f>
        <v>406213</v>
      </c>
      <c r="G473" s="4">
        <f>ROUND(3000000,2)</f>
        <v>3000000</v>
      </c>
      <c r="H473" s="4">
        <f>ROUND(900000,2)</f>
        <v>900000</v>
      </c>
      <c r="I473" s="4">
        <f>ROUND(0,2)</f>
        <v>0</v>
      </c>
      <c r="J473" s="4">
        <f>ROUND(0,2)</f>
        <v>0</v>
      </c>
      <c r="K473" s="4">
        <f>ROUND(900000,2)</f>
        <v>900000</v>
      </c>
    </row>
    <row r="474" spans="1:11" ht="38.25">
      <c r="A474" s="2" t="s">
        <v>127</v>
      </c>
      <c r="B474" s="3" t="s">
        <v>911</v>
      </c>
      <c r="C474" s="3" t="s">
        <v>1106</v>
      </c>
      <c r="D474" s="4">
        <f>ROUND(3406213,2)</f>
        <v>3406213</v>
      </c>
      <c r="E474" s="4">
        <f>ROUND(0,2)</f>
        <v>0</v>
      </c>
      <c r="F474" s="4">
        <f>ROUND(406213,2)</f>
        <v>406213</v>
      </c>
      <c r="G474" s="4">
        <f>ROUND(3000000,2)</f>
        <v>3000000</v>
      </c>
      <c r="H474" s="4">
        <f>ROUND(900000,2)</f>
        <v>900000</v>
      </c>
      <c r="I474" s="4">
        <f>ROUND(0,2)</f>
        <v>0</v>
      </c>
      <c r="J474" s="4">
        <f>ROUND(0,2)</f>
        <v>0</v>
      </c>
      <c r="K474" s="4">
        <f>ROUND(900000,2)</f>
        <v>900000</v>
      </c>
    </row>
    <row r="475" spans="1:11" ht="102">
      <c r="A475" s="2" t="s">
        <v>965</v>
      </c>
      <c r="B475" s="3" t="s">
        <v>565</v>
      </c>
      <c r="C475" s="3" t="s">
        <v>629</v>
      </c>
      <c r="D475" s="4">
        <f aca="true" t="shared" si="71" ref="D475:D490">ROUND(0,2)</f>
        <v>0</v>
      </c>
      <c r="E475" s="4">
        <f aca="true" t="shared" si="72" ref="E475:F478">ROUND(21932900,2)</f>
        <v>21932900</v>
      </c>
      <c r="F475" s="4">
        <f t="shared" si="72"/>
        <v>21932900</v>
      </c>
      <c r="G475" s="4">
        <f aca="true" t="shared" si="73" ref="G475:H490">ROUND(0,2)</f>
        <v>0</v>
      </c>
      <c r="H475" s="4">
        <f t="shared" si="73"/>
        <v>0</v>
      </c>
      <c r="I475" s="4">
        <f aca="true" t="shared" si="74" ref="I475:J478">ROUND(12187900,2)</f>
        <v>12187900</v>
      </c>
      <c r="J475" s="4">
        <f t="shared" si="74"/>
        <v>12187900</v>
      </c>
      <c r="K475" s="4">
        <f aca="true" t="shared" si="75" ref="K475:K490">ROUND(0,2)</f>
        <v>0</v>
      </c>
    </row>
    <row r="476" spans="1:11" ht="25.5">
      <c r="A476" s="2" t="s">
        <v>535</v>
      </c>
      <c r="B476" s="3" t="s">
        <v>101</v>
      </c>
      <c r="C476" s="3" t="s">
        <v>114</v>
      </c>
      <c r="D476" s="4">
        <f t="shared" si="71"/>
        <v>0</v>
      </c>
      <c r="E476" s="4">
        <f t="shared" si="72"/>
        <v>21932900</v>
      </c>
      <c r="F476" s="4">
        <f t="shared" si="72"/>
        <v>21932900</v>
      </c>
      <c r="G476" s="4">
        <f t="shared" si="73"/>
        <v>0</v>
      </c>
      <c r="H476" s="4">
        <f t="shared" si="73"/>
        <v>0</v>
      </c>
      <c r="I476" s="4">
        <f t="shared" si="74"/>
        <v>12187900</v>
      </c>
      <c r="J476" s="4">
        <f t="shared" si="74"/>
        <v>12187900</v>
      </c>
      <c r="K476" s="4">
        <f t="shared" si="75"/>
        <v>0</v>
      </c>
    </row>
    <row r="477" spans="1:11" ht="38.25">
      <c r="A477" s="2" t="s">
        <v>146</v>
      </c>
      <c r="B477" s="3" t="s">
        <v>408</v>
      </c>
      <c r="C477" s="3" t="s">
        <v>258</v>
      </c>
      <c r="D477" s="4">
        <f t="shared" si="71"/>
        <v>0</v>
      </c>
      <c r="E477" s="4">
        <f t="shared" si="72"/>
        <v>21932900</v>
      </c>
      <c r="F477" s="4">
        <f t="shared" si="72"/>
        <v>21932900</v>
      </c>
      <c r="G477" s="4">
        <f t="shared" si="73"/>
        <v>0</v>
      </c>
      <c r="H477" s="4">
        <f t="shared" si="73"/>
        <v>0</v>
      </c>
      <c r="I477" s="4">
        <f t="shared" si="74"/>
        <v>12187900</v>
      </c>
      <c r="J477" s="4">
        <f t="shared" si="74"/>
        <v>12187900</v>
      </c>
      <c r="K477" s="4">
        <f t="shared" si="75"/>
        <v>0</v>
      </c>
    </row>
    <row r="478" spans="1:11" ht="76.5">
      <c r="A478" s="2" t="s">
        <v>652</v>
      </c>
      <c r="B478" s="3" t="s">
        <v>944</v>
      </c>
      <c r="C478" s="3" t="s">
        <v>1192</v>
      </c>
      <c r="D478" s="4">
        <f t="shared" si="71"/>
        <v>0</v>
      </c>
      <c r="E478" s="4">
        <f t="shared" si="72"/>
        <v>21932900</v>
      </c>
      <c r="F478" s="4">
        <f t="shared" si="72"/>
        <v>21932900</v>
      </c>
      <c r="G478" s="4">
        <f t="shared" si="73"/>
        <v>0</v>
      </c>
      <c r="H478" s="4">
        <f t="shared" si="73"/>
        <v>0</v>
      </c>
      <c r="I478" s="4">
        <f t="shared" si="74"/>
        <v>12187900</v>
      </c>
      <c r="J478" s="4">
        <f t="shared" si="74"/>
        <v>12187900</v>
      </c>
      <c r="K478" s="4">
        <f t="shared" si="75"/>
        <v>0</v>
      </c>
    </row>
    <row r="479" spans="1:11" ht="114.75">
      <c r="A479" s="2" t="s">
        <v>503</v>
      </c>
      <c r="B479" s="3" t="s">
        <v>300</v>
      </c>
      <c r="C479" s="3" t="s">
        <v>710</v>
      </c>
      <c r="D479" s="4">
        <f t="shared" si="71"/>
        <v>0</v>
      </c>
      <c r="E479" s="4">
        <f aca="true" t="shared" si="76" ref="E479:F482">ROUND(10884900,2)</f>
        <v>10884900</v>
      </c>
      <c r="F479" s="4">
        <f t="shared" si="76"/>
        <v>10884900</v>
      </c>
      <c r="G479" s="4">
        <f t="shared" si="73"/>
        <v>0</v>
      </c>
      <c r="H479" s="4">
        <f t="shared" si="73"/>
        <v>0</v>
      </c>
      <c r="I479" s="4">
        <f aca="true" t="shared" si="77" ref="I479:J482">ROUND(7191950,2)</f>
        <v>7191950</v>
      </c>
      <c r="J479" s="4">
        <f t="shared" si="77"/>
        <v>7191950</v>
      </c>
      <c r="K479" s="4">
        <f t="shared" si="75"/>
        <v>0</v>
      </c>
    </row>
    <row r="480" spans="1:11" ht="25.5">
      <c r="A480" s="2" t="s">
        <v>1185</v>
      </c>
      <c r="B480" s="3" t="s">
        <v>385</v>
      </c>
      <c r="C480" s="3" t="s">
        <v>114</v>
      </c>
      <c r="D480" s="4">
        <f t="shared" si="71"/>
        <v>0</v>
      </c>
      <c r="E480" s="4">
        <f t="shared" si="76"/>
        <v>10884900</v>
      </c>
      <c r="F480" s="4">
        <f t="shared" si="76"/>
        <v>10884900</v>
      </c>
      <c r="G480" s="4">
        <f t="shared" si="73"/>
        <v>0</v>
      </c>
      <c r="H480" s="4">
        <f t="shared" si="73"/>
        <v>0</v>
      </c>
      <c r="I480" s="4">
        <f t="shared" si="77"/>
        <v>7191950</v>
      </c>
      <c r="J480" s="4">
        <f t="shared" si="77"/>
        <v>7191950</v>
      </c>
      <c r="K480" s="4">
        <f t="shared" si="75"/>
        <v>0</v>
      </c>
    </row>
    <row r="481" spans="1:11" ht="38.25">
      <c r="A481" s="2" t="s">
        <v>425</v>
      </c>
      <c r="B481" s="3" t="s">
        <v>96</v>
      </c>
      <c r="C481" s="3" t="s">
        <v>258</v>
      </c>
      <c r="D481" s="4">
        <f t="shared" si="71"/>
        <v>0</v>
      </c>
      <c r="E481" s="4">
        <f t="shared" si="76"/>
        <v>10884900</v>
      </c>
      <c r="F481" s="4">
        <f t="shared" si="76"/>
        <v>10884900</v>
      </c>
      <c r="G481" s="4">
        <f t="shared" si="73"/>
        <v>0</v>
      </c>
      <c r="H481" s="4">
        <f t="shared" si="73"/>
        <v>0</v>
      </c>
      <c r="I481" s="4">
        <f t="shared" si="77"/>
        <v>7191950</v>
      </c>
      <c r="J481" s="4">
        <f t="shared" si="77"/>
        <v>7191950</v>
      </c>
      <c r="K481" s="4">
        <f t="shared" si="75"/>
        <v>0</v>
      </c>
    </row>
    <row r="482" spans="1:11" ht="76.5">
      <c r="A482" s="2" t="s">
        <v>1119</v>
      </c>
      <c r="B482" s="3" t="s">
        <v>620</v>
      </c>
      <c r="C482" s="3" t="s">
        <v>1192</v>
      </c>
      <c r="D482" s="4">
        <f t="shared" si="71"/>
        <v>0</v>
      </c>
      <c r="E482" s="4">
        <f t="shared" si="76"/>
        <v>10884900</v>
      </c>
      <c r="F482" s="4">
        <f t="shared" si="76"/>
        <v>10884900</v>
      </c>
      <c r="G482" s="4">
        <f t="shared" si="73"/>
        <v>0</v>
      </c>
      <c r="H482" s="4">
        <f t="shared" si="73"/>
        <v>0</v>
      </c>
      <c r="I482" s="4">
        <f t="shared" si="77"/>
        <v>7191950</v>
      </c>
      <c r="J482" s="4">
        <f t="shared" si="77"/>
        <v>7191950</v>
      </c>
      <c r="K482" s="4">
        <f t="shared" si="75"/>
        <v>0</v>
      </c>
    </row>
    <row r="483" spans="1:11" ht="25.5">
      <c r="A483" s="2" t="s">
        <v>988</v>
      </c>
      <c r="B483" s="3" t="s">
        <v>1147</v>
      </c>
      <c r="C483" s="3" t="s">
        <v>429</v>
      </c>
      <c r="D483" s="4">
        <f t="shared" si="71"/>
        <v>0</v>
      </c>
      <c r="E483" s="4">
        <f aca="true" t="shared" si="78" ref="E483:F486">ROUND(11013000,2)</f>
        <v>11013000</v>
      </c>
      <c r="F483" s="4">
        <f t="shared" si="78"/>
        <v>11013000</v>
      </c>
      <c r="G483" s="4">
        <f t="shared" si="73"/>
        <v>0</v>
      </c>
      <c r="H483" s="4">
        <f t="shared" si="73"/>
        <v>0</v>
      </c>
      <c r="I483" s="4">
        <f aca="true" t="shared" si="79" ref="I483:J486">ROUND(4960950,2)</f>
        <v>4960950</v>
      </c>
      <c r="J483" s="4">
        <f t="shared" si="79"/>
        <v>4960950</v>
      </c>
      <c r="K483" s="4">
        <f t="shared" si="75"/>
        <v>0</v>
      </c>
    </row>
    <row r="484" spans="1:11" ht="25.5">
      <c r="A484" s="2" t="s">
        <v>562</v>
      </c>
      <c r="B484" s="3" t="s">
        <v>732</v>
      </c>
      <c r="C484" s="3" t="s">
        <v>114</v>
      </c>
      <c r="D484" s="4">
        <f t="shared" si="71"/>
        <v>0</v>
      </c>
      <c r="E484" s="4">
        <f t="shared" si="78"/>
        <v>11013000</v>
      </c>
      <c r="F484" s="4">
        <f t="shared" si="78"/>
        <v>11013000</v>
      </c>
      <c r="G484" s="4">
        <f t="shared" si="73"/>
        <v>0</v>
      </c>
      <c r="H484" s="4">
        <f t="shared" si="73"/>
        <v>0</v>
      </c>
      <c r="I484" s="4">
        <f t="shared" si="79"/>
        <v>4960950</v>
      </c>
      <c r="J484" s="4">
        <f t="shared" si="79"/>
        <v>4960950</v>
      </c>
      <c r="K484" s="4">
        <f t="shared" si="75"/>
        <v>0</v>
      </c>
    </row>
    <row r="485" spans="1:11" ht="38.25">
      <c r="A485" s="2" t="s">
        <v>1011</v>
      </c>
      <c r="B485" s="3" t="s">
        <v>1063</v>
      </c>
      <c r="C485" s="3" t="s">
        <v>258</v>
      </c>
      <c r="D485" s="4">
        <f t="shared" si="71"/>
        <v>0</v>
      </c>
      <c r="E485" s="4">
        <f t="shared" si="78"/>
        <v>11013000</v>
      </c>
      <c r="F485" s="4">
        <f t="shared" si="78"/>
        <v>11013000</v>
      </c>
      <c r="G485" s="4">
        <f t="shared" si="73"/>
        <v>0</v>
      </c>
      <c r="H485" s="4">
        <f t="shared" si="73"/>
        <v>0</v>
      </c>
      <c r="I485" s="4">
        <f t="shared" si="79"/>
        <v>4960950</v>
      </c>
      <c r="J485" s="4">
        <f t="shared" si="79"/>
        <v>4960950</v>
      </c>
      <c r="K485" s="4">
        <f t="shared" si="75"/>
        <v>0</v>
      </c>
    </row>
    <row r="486" spans="1:11" ht="76.5">
      <c r="A486" s="2" t="s">
        <v>329</v>
      </c>
      <c r="B486" s="3" t="s">
        <v>352</v>
      </c>
      <c r="C486" s="3" t="s">
        <v>1192</v>
      </c>
      <c r="D486" s="4">
        <f t="shared" si="71"/>
        <v>0</v>
      </c>
      <c r="E486" s="4">
        <f t="shared" si="78"/>
        <v>11013000</v>
      </c>
      <c r="F486" s="4">
        <f t="shared" si="78"/>
        <v>11013000</v>
      </c>
      <c r="G486" s="4">
        <f t="shared" si="73"/>
        <v>0</v>
      </c>
      <c r="H486" s="4">
        <f t="shared" si="73"/>
        <v>0</v>
      </c>
      <c r="I486" s="4">
        <f t="shared" si="79"/>
        <v>4960950</v>
      </c>
      <c r="J486" s="4">
        <f t="shared" si="79"/>
        <v>4960950</v>
      </c>
      <c r="K486" s="4">
        <f t="shared" si="75"/>
        <v>0</v>
      </c>
    </row>
    <row r="487" spans="1:11" ht="127.5">
      <c r="A487" s="2" t="s">
        <v>1102</v>
      </c>
      <c r="B487" s="3" t="s">
        <v>843</v>
      </c>
      <c r="C487" s="3" t="s">
        <v>1166</v>
      </c>
      <c r="D487" s="4">
        <f t="shared" si="71"/>
        <v>0</v>
      </c>
      <c r="E487" s="4">
        <f aca="true" t="shared" si="80" ref="E487:F490">ROUND(35000,2)</f>
        <v>35000</v>
      </c>
      <c r="F487" s="4">
        <f t="shared" si="80"/>
        <v>35000</v>
      </c>
      <c r="G487" s="4">
        <f t="shared" si="73"/>
        <v>0</v>
      </c>
      <c r="H487" s="4">
        <f t="shared" si="73"/>
        <v>0</v>
      </c>
      <c r="I487" s="4">
        <f aca="true" t="shared" si="81" ref="I487:J490">ROUND(35000,2)</f>
        <v>35000</v>
      </c>
      <c r="J487" s="4">
        <f t="shared" si="81"/>
        <v>35000</v>
      </c>
      <c r="K487" s="4">
        <f t="shared" si="75"/>
        <v>0</v>
      </c>
    </row>
    <row r="488" spans="1:11" ht="25.5">
      <c r="A488" s="2" t="s">
        <v>585</v>
      </c>
      <c r="B488" s="3" t="s">
        <v>1043</v>
      </c>
      <c r="C488" s="3" t="s">
        <v>114</v>
      </c>
      <c r="D488" s="4">
        <f t="shared" si="71"/>
        <v>0</v>
      </c>
      <c r="E488" s="4">
        <f t="shared" si="80"/>
        <v>35000</v>
      </c>
      <c r="F488" s="4">
        <f t="shared" si="80"/>
        <v>35000</v>
      </c>
      <c r="G488" s="4">
        <f t="shared" si="73"/>
        <v>0</v>
      </c>
      <c r="H488" s="4">
        <f t="shared" si="73"/>
        <v>0</v>
      </c>
      <c r="I488" s="4">
        <f t="shared" si="81"/>
        <v>35000</v>
      </c>
      <c r="J488" s="4">
        <f t="shared" si="81"/>
        <v>35000</v>
      </c>
      <c r="K488" s="4">
        <f t="shared" si="75"/>
        <v>0</v>
      </c>
    </row>
    <row r="489" spans="1:11" ht="38.25">
      <c r="A489" s="2" t="s">
        <v>1000</v>
      </c>
      <c r="B489" s="3" t="s">
        <v>726</v>
      </c>
      <c r="C489" s="3" t="s">
        <v>258</v>
      </c>
      <c r="D489" s="4">
        <f t="shared" si="71"/>
        <v>0</v>
      </c>
      <c r="E489" s="4">
        <f t="shared" si="80"/>
        <v>35000</v>
      </c>
      <c r="F489" s="4">
        <f t="shared" si="80"/>
        <v>35000</v>
      </c>
      <c r="G489" s="4">
        <f t="shared" si="73"/>
        <v>0</v>
      </c>
      <c r="H489" s="4">
        <f t="shared" si="73"/>
        <v>0</v>
      </c>
      <c r="I489" s="4">
        <f t="shared" si="81"/>
        <v>35000</v>
      </c>
      <c r="J489" s="4">
        <f t="shared" si="81"/>
        <v>35000</v>
      </c>
      <c r="K489" s="4">
        <f t="shared" si="75"/>
        <v>0</v>
      </c>
    </row>
    <row r="490" spans="1:11" ht="76.5">
      <c r="A490" s="2" t="s">
        <v>506</v>
      </c>
      <c r="B490" s="3" t="s">
        <v>65</v>
      </c>
      <c r="C490" s="3" t="s">
        <v>1192</v>
      </c>
      <c r="D490" s="4">
        <f t="shared" si="71"/>
        <v>0</v>
      </c>
      <c r="E490" s="4">
        <f t="shared" si="80"/>
        <v>35000</v>
      </c>
      <c r="F490" s="4">
        <f t="shared" si="80"/>
        <v>35000</v>
      </c>
      <c r="G490" s="4">
        <f t="shared" si="73"/>
        <v>0</v>
      </c>
      <c r="H490" s="4">
        <f t="shared" si="73"/>
        <v>0</v>
      </c>
      <c r="I490" s="4">
        <f t="shared" si="81"/>
        <v>35000</v>
      </c>
      <c r="J490" s="4">
        <f t="shared" si="81"/>
        <v>35000</v>
      </c>
      <c r="K490" s="4">
        <f t="shared" si="75"/>
        <v>0</v>
      </c>
    </row>
    <row r="491" spans="1:11" ht="51">
      <c r="A491" s="2" t="s">
        <v>695</v>
      </c>
      <c r="B491" s="3" t="s">
        <v>927</v>
      </c>
      <c r="C491" s="3" t="s">
        <v>270</v>
      </c>
      <c r="D491" s="4">
        <f>ROUND(-124687460.59,2)</f>
        <v>-124687460.59</v>
      </c>
      <c r="E491" s="4">
        <f aca="true" t="shared" si="82" ref="E491:E522">ROUND(0,2)</f>
        <v>0</v>
      </c>
      <c r="F491" s="4">
        <f>ROUND(-108976781.32,2)</f>
        <v>-108976781.32</v>
      </c>
      <c r="G491" s="4">
        <f>ROUND(-15710679.27,2)</f>
        <v>-15710679.27</v>
      </c>
      <c r="H491" s="4">
        <f>ROUND(3930808.28,2)</f>
        <v>3930808.28</v>
      </c>
      <c r="I491" s="4">
        <f aca="true" t="shared" si="83" ref="I491:I522">ROUND(0,2)</f>
        <v>0</v>
      </c>
      <c r="J491" s="4">
        <f>ROUND(11840615.72,2)</f>
        <v>11840615.72</v>
      </c>
      <c r="K491" s="4">
        <f>ROUND(-7909807.44,2)</f>
        <v>-7909807.44</v>
      </c>
    </row>
    <row r="492" spans="1:11" ht="25.5">
      <c r="A492" s="2" t="s">
        <v>841</v>
      </c>
      <c r="B492" s="3" t="s">
        <v>42</v>
      </c>
      <c r="C492" s="3" t="s">
        <v>48</v>
      </c>
      <c r="D492" s="4">
        <f>ROUND(22221941.82,2)</f>
        <v>22221941.82</v>
      </c>
      <c r="E492" s="4">
        <f t="shared" si="82"/>
        <v>0</v>
      </c>
      <c r="F492" s="4">
        <f>ROUND(11567282.71,2)</f>
        <v>11567282.71</v>
      </c>
      <c r="G492" s="4">
        <f>ROUND(10654659.11,2)</f>
        <v>10654659.11</v>
      </c>
      <c r="H492" s="4">
        <f>ROUND(22221941.82,2)</f>
        <v>22221941.82</v>
      </c>
      <c r="I492" s="4">
        <f t="shared" si="83"/>
        <v>0</v>
      </c>
      <c r="J492" s="4">
        <f>ROUND(11567282.71,2)</f>
        <v>11567282.71</v>
      </c>
      <c r="K492" s="4">
        <f>ROUND(10654659.11,2)</f>
        <v>10654659.11</v>
      </c>
    </row>
    <row r="493" spans="1:11" ht="51">
      <c r="A493" s="2" t="s">
        <v>49</v>
      </c>
      <c r="B493" s="3" t="s">
        <v>834</v>
      </c>
      <c r="C493" s="3" t="s">
        <v>989</v>
      </c>
      <c r="D493" s="4">
        <f>ROUND(435794.6,2)</f>
        <v>435794.6</v>
      </c>
      <c r="E493" s="4">
        <f t="shared" si="82"/>
        <v>0</v>
      </c>
      <c r="F493" s="4">
        <f>ROUND(0,2)</f>
        <v>0</v>
      </c>
      <c r="G493" s="4">
        <f>ROUND(435794.6,2)</f>
        <v>435794.6</v>
      </c>
      <c r="H493" s="4">
        <f>ROUND(593985.23,2)</f>
        <v>593985.23</v>
      </c>
      <c r="I493" s="4">
        <f t="shared" si="83"/>
        <v>0</v>
      </c>
      <c r="J493" s="4">
        <f>ROUND(0,2)</f>
        <v>0</v>
      </c>
      <c r="K493" s="4">
        <f>ROUND(593985.23,2)</f>
        <v>593985.23</v>
      </c>
    </row>
    <row r="494" spans="1:11" ht="25.5">
      <c r="A494" s="2" t="s">
        <v>742</v>
      </c>
      <c r="B494" s="3" t="s">
        <v>172</v>
      </c>
      <c r="C494" s="3" t="s">
        <v>1137</v>
      </c>
      <c r="D494" s="4">
        <f>ROUND(21786147.22,2)</f>
        <v>21786147.22</v>
      </c>
      <c r="E494" s="4">
        <f t="shared" si="82"/>
        <v>0</v>
      </c>
      <c r="F494" s="4">
        <f>ROUND(11567282.71,2)</f>
        <v>11567282.71</v>
      </c>
      <c r="G494" s="4">
        <f>ROUND(10218864.51,2)</f>
        <v>10218864.51</v>
      </c>
      <c r="H494" s="4">
        <f>ROUND(21627956.59,2)</f>
        <v>21627956.59</v>
      </c>
      <c r="I494" s="4">
        <f t="shared" si="83"/>
        <v>0</v>
      </c>
      <c r="J494" s="4">
        <f>ROUND(11567282.71,2)</f>
        <v>11567282.71</v>
      </c>
      <c r="K494" s="4">
        <f>ROUND(10060673.88,2)</f>
        <v>10060673.88</v>
      </c>
    </row>
    <row r="495" spans="1:11" ht="25.5">
      <c r="A495" s="2" t="s">
        <v>303</v>
      </c>
      <c r="B495" s="3" t="s">
        <v>630</v>
      </c>
      <c r="C495" s="3" t="s">
        <v>776</v>
      </c>
      <c r="D495" s="4">
        <f>ROUND(20345981.23,2)</f>
        <v>20345981.23</v>
      </c>
      <c r="E495" s="4">
        <f t="shared" si="82"/>
        <v>0</v>
      </c>
      <c r="F495" s="4">
        <f>ROUND(18202001.39,2)</f>
        <v>18202001.39</v>
      </c>
      <c r="G495" s="4">
        <f>ROUND(2143979.84,2)</f>
        <v>2143979.84</v>
      </c>
      <c r="H495" s="4">
        <f>ROUND(151571600.1,2)</f>
        <v>151571600.1</v>
      </c>
      <c r="I495" s="4">
        <f t="shared" si="83"/>
        <v>0</v>
      </c>
      <c r="J495" s="4">
        <f>ROUND(137519998.43,2)</f>
        <v>137519998.43</v>
      </c>
      <c r="K495" s="4">
        <f>ROUND(14051601.67,2)</f>
        <v>14051601.67</v>
      </c>
    </row>
    <row r="496" spans="1:11" ht="51">
      <c r="A496" s="2" t="s">
        <v>790</v>
      </c>
      <c r="B496" s="3" t="s">
        <v>82</v>
      </c>
      <c r="C496" s="3" t="s">
        <v>989</v>
      </c>
      <c r="D496" s="4">
        <f>ROUND(257028.13,2)</f>
        <v>257028.13</v>
      </c>
      <c r="E496" s="4">
        <f t="shared" si="82"/>
        <v>0</v>
      </c>
      <c r="F496" s="4">
        <f>ROUND(0,2)</f>
        <v>0</v>
      </c>
      <c r="G496" s="4">
        <f>ROUND(257028.13,2)</f>
        <v>257028.13</v>
      </c>
      <c r="H496" s="4">
        <f>ROUND(19024730.32,2)</f>
        <v>19024730.32</v>
      </c>
      <c r="I496" s="4">
        <f t="shared" si="83"/>
        <v>0</v>
      </c>
      <c r="J496" s="4">
        <f>ROUND(15738449.94,2)</f>
        <v>15738449.94</v>
      </c>
      <c r="K496" s="4">
        <f>ROUND(3286280.38,2)</f>
        <v>3286280.38</v>
      </c>
    </row>
    <row r="497" spans="1:11" ht="25.5">
      <c r="A497" s="2" t="s">
        <v>79</v>
      </c>
      <c r="B497" s="3" t="s">
        <v>795</v>
      </c>
      <c r="C497" s="3" t="s">
        <v>1137</v>
      </c>
      <c r="D497" s="4">
        <f>ROUND(20088953.1,2)</f>
        <v>20088953.1</v>
      </c>
      <c r="E497" s="4">
        <f t="shared" si="82"/>
        <v>0</v>
      </c>
      <c r="F497" s="4">
        <f>ROUND(18202001.39,2)</f>
        <v>18202001.39</v>
      </c>
      <c r="G497" s="4">
        <f>ROUND(1886951.71,2)</f>
        <v>1886951.71</v>
      </c>
      <c r="H497" s="4">
        <f>ROUND(132546869.78,2)</f>
        <v>132546869.78</v>
      </c>
      <c r="I497" s="4">
        <f t="shared" si="83"/>
        <v>0</v>
      </c>
      <c r="J497" s="4">
        <f>ROUND(121781548.49,2)</f>
        <v>121781548.49</v>
      </c>
      <c r="K497" s="4">
        <f>ROUND(10765321.29,2)</f>
        <v>10765321.29</v>
      </c>
    </row>
    <row r="498" spans="1:11" ht="38.25">
      <c r="A498" s="2" t="s">
        <v>624</v>
      </c>
      <c r="B498" s="3" t="s">
        <v>910</v>
      </c>
      <c r="C498" s="3" t="s">
        <v>1071</v>
      </c>
      <c r="D498" s="4">
        <f>ROUND(56947134.69,2)</f>
        <v>56947134.69</v>
      </c>
      <c r="E498" s="4">
        <f t="shared" si="82"/>
        <v>0</v>
      </c>
      <c r="F498" s="4">
        <f>ROUND(26533087.69,2)</f>
        <v>26533087.69</v>
      </c>
      <c r="G498" s="4">
        <f>ROUND(30414047,2)</f>
        <v>30414047</v>
      </c>
      <c r="H498" s="4">
        <f>ROUND(27525218.98,2)</f>
        <v>27525218.98</v>
      </c>
      <c r="I498" s="4">
        <f t="shared" si="83"/>
        <v>0</v>
      </c>
      <c r="J498" s="4">
        <f>ROUND(7386044.33,2)</f>
        <v>7386044.33</v>
      </c>
      <c r="K498" s="4">
        <f>ROUND(20139174.65,2)</f>
        <v>20139174.65</v>
      </c>
    </row>
    <row r="499" spans="1:11" ht="25.5">
      <c r="A499" s="2" t="s">
        <v>99</v>
      </c>
      <c r="B499" s="3" t="s">
        <v>827</v>
      </c>
      <c r="C499" s="3" t="s">
        <v>734</v>
      </c>
      <c r="D499" s="4">
        <f>ROUND(9300688,2)</f>
        <v>9300688</v>
      </c>
      <c r="E499" s="4">
        <f t="shared" si="82"/>
        <v>0</v>
      </c>
      <c r="F499" s="4">
        <f>ROUND(2657450,2)</f>
        <v>2657450</v>
      </c>
      <c r="G499" s="4">
        <f>ROUND(6643238,2)</f>
        <v>6643238</v>
      </c>
      <c r="H499" s="4">
        <f>ROUND(4647551.92,2)</f>
        <v>4647551.92</v>
      </c>
      <c r="I499" s="4">
        <f t="shared" si="83"/>
        <v>0</v>
      </c>
      <c r="J499" s="4">
        <f>ROUND(2657405,2)</f>
        <v>2657405</v>
      </c>
      <c r="K499" s="4">
        <f>ROUND(1990146.92,2)</f>
        <v>1990146.92</v>
      </c>
    </row>
    <row r="500" spans="1:11" ht="38.25">
      <c r="A500" s="2" t="s">
        <v>622</v>
      </c>
      <c r="B500" s="3" t="s">
        <v>268</v>
      </c>
      <c r="C500" s="3" t="s">
        <v>257</v>
      </c>
      <c r="D500" s="4">
        <f>ROUND(39746445.69,2)</f>
        <v>39746445.69</v>
      </c>
      <c r="E500" s="4">
        <f t="shared" si="82"/>
        <v>0</v>
      </c>
      <c r="F500" s="4">
        <f>ROUND(23133221.69,2)</f>
        <v>23133221.69</v>
      </c>
      <c r="G500" s="4">
        <f>ROUND(16613224,2)</f>
        <v>16613224</v>
      </c>
      <c r="H500" s="4">
        <f>ROUND(16615214.58,2)</f>
        <v>16615214.58</v>
      </c>
      <c r="I500" s="4">
        <f t="shared" si="83"/>
        <v>0</v>
      </c>
      <c r="J500" s="4">
        <f>ROUND(4280259.31,2)</f>
        <v>4280259.31</v>
      </c>
      <c r="K500" s="4">
        <f>ROUND(12334955.27,2)</f>
        <v>12334955.27</v>
      </c>
    </row>
    <row r="501" spans="1:11" ht="63.75">
      <c r="A501" s="2" t="s">
        <v>1195</v>
      </c>
      <c r="B501" s="3" t="s">
        <v>1049</v>
      </c>
      <c r="C501" s="3" t="s">
        <v>1089</v>
      </c>
      <c r="D501" s="4">
        <f>ROUND(5869691,2)</f>
        <v>5869691</v>
      </c>
      <c r="E501" s="4">
        <f t="shared" si="82"/>
        <v>0</v>
      </c>
      <c r="F501" s="4">
        <f>ROUND(646100,2)</f>
        <v>646100</v>
      </c>
      <c r="G501" s="4">
        <f>ROUND(5223591,2)</f>
        <v>5223591</v>
      </c>
      <c r="H501" s="4">
        <f>ROUND(4837739.54,2)</f>
        <v>4837739.54</v>
      </c>
      <c r="I501" s="4">
        <f t="shared" si="83"/>
        <v>0</v>
      </c>
      <c r="J501" s="4">
        <f>ROUND(369281.74,2)</f>
        <v>369281.74</v>
      </c>
      <c r="K501" s="4">
        <f>ROUND(4468457.8,2)</f>
        <v>4468457.8</v>
      </c>
    </row>
    <row r="502" spans="1:11" ht="25.5">
      <c r="A502" s="2" t="s">
        <v>495</v>
      </c>
      <c r="B502" s="3" t="s">
        <v>367</v>
      </c>
      <c r="C502" s="3" t="s">
        <v>1132</v>
      </c>
      <c r="D502" s="4">
        <f>ROUND(2030310,2)</f>
        <v>2030310</v>
      </c>
      <c r="E502" s="4">
        <f t="shared" si="82"/>
        <v>0</v>
      </c>
      <c r="F502" s="4">
        <f>ROUND(96316,2)</f>
        <v>96316</v>
      </c>
      <c r="G502" s="4">
        <f>ROUND(1933994,2)</f>
        <v>1933994</v>
      </c>
      <c r="H502" s="4">
        <f>ROUND(1424712.94,2)</f>
        <v>1424712.94</v>
      </c>
      <c r="I502" s="4">
        <f t="shared" si="83"/>
        <v>0</v>
      </c>
      <c r="J502" s="4">
        <f>ROUND(79098.28,2)</f>
        <v>79098.28</v>
      </c>
      <c r="K502" s="4">
        <f>ROUND(1345614.66,2)</f>
        <v>1345614.66</v>
      </c>
    </row>
    <row r="503" spans="1:11" ht="25.5">
      <c r="A503" s="2" t="s">
        <v>1006</v>
      </c>
      <c r="B503" s="3" t="s">
        <v>1180</v>
      </c>
      <c r="C503" s="3" t="s">
        <v>1114</v>
      </c>
      <c r="D503" s="4">
        <f>ROUND(3434266.91,2)</f>
        <v>3434266.91</v>
      </c>
      <c r="E503" s="4">
        <f t="shared" si="82"/>
        <v>0</v>
      </c>
      <c r="F503" s="4">
        <f>ROUND(1397693.91,2)</f>
        <v>1397693.91</v>
      </c>
      <c r="G503" s="4">
        <f>ROUND(2036573,2)</f>
        <v>2036573</v>
      </c>
      <c r="H503" s="4">
        <f>ROUND(2378656.51,2)</f>
        <v>2378656.51</v>
      </c>
      <c r="I503" s="4">
        <f t="shared" si="83"/>
        <v>0</v>
      </c>
      <c r="J503" s="4">
        <f>ROUND(761303.97,2)</f>
        <v>761303.97</v>
      </c>
      <c r="K503" s="4">
        <f>ROUND(1617352.54,2)</f>
        <v>1617352.54</v>
      </c>
    </row>
    <row r="504" spans="1:11" ht="51">
      <c r="A504" s="2" t="s">
        <v>339</v>
      </c>
      <c r="B504" s="3" t="s">
        <v>485</v>
      </c>
      <c r="C504" s="3" t="s">
        <v>245</v>
      </c>
      <c r="D504" s="4">
        <f>ROUND(430698,2)</f>
        <v>430698</v>
      </c>
      <c r="E504" s="4">
        <f t="shared" si="82"/>
        <v>0</v>
      </c>
      <c r="F504" s="4">
        <f>ROUND(28872,2)</f>
        <v>28872</v>
      </c>
      <c r="G504" s="4">
        <f>ROUND(401826,2)</f>
        <v>401826</v>
      </c>
      <c r="H504" s="4">
        <f>ROUND(271474.6,2)</f>
        <v>271474.6</v>
      </c>
      <c r="I504" s="4">
        <f t="shared" si="83"/>
        <v>0</v>
      </c>
      <c r="J504" s="4">
        <f>ROUND(24904,2)</f>
        <v>24904</v>
      </c>
      <c r="K504" s="4">
        <f>ROUND(246570.6,2)</f>
        <v>246570.6</v>
      </c>
    </row>
    <row r="505" spans="1:11" ht="63.75">
      <c r="A505" s="2" t="s">
        <v>1085</v>
      </c>
      <c r="B505" s="3" t="s">
        <v>939</v>
      </c>
      <c r="C505" s="3" t="s">
        <v>93</v>
      </c>
      <c r="D505" s="4">
        <f>ROUND(345633.71,2)</f>
        <v>345633.71</v>
      </c>
      <c r="E505" s="4">
        <f t="shared" si="82"/>
        <v>0</v>
      </c>
      <c r="F505" s="4">
        <f>ROUND(243328.71,2)</f>
        <v>243328.71</v>
      </c>
      <c r="G505" s="4">
        <f>ROUND(102305,2)</f>
        <v>102305</v>
      </c>
      <c r="H505" s="4">
        <f>ROUND(263675.93,2)</f>
        <v>263675.93</v>
      </c>
      <c r="I505" s="4">
        <f t="shared" si="83"/>
        <v>0</v>
      </c>
      <c r="J505" s="4">
        <f>ROUND(195627.21,2)</f>
        <v>195627.21</v>
      </c>
      <c r="K505" s="4">
        <f>ROUND(68048.72,2)</f>
        <v>68048.72</v>
      </c>
    </row>
    <row r="506" spans="1:11" ht="25.5">
      <c r="A506" s="2" t="s">
        <v>528</v>
      </c>
      <c r="B506" s="3" t="s">
        <v>400</v>
      </c>
      <c r="C506" s="3" t="s">
        <v>1132</v>
      </c>
      <c r="D506" s="4">
        <f>ROUND(2657935.2,2)</f>
        <v>2657935.2</v>
      </c>
      <c r="E506" s="4">
        <f t="shared" si="82"/>
        <v>0</v>
      </c>
      <c r="F506" s="4">
        <f>ROUND(1125493.2,2)</f>
        <v>1125493.2</v>
      </c>
      <c r="G506" s="4">
        <f>ROUND(1532442,2)</f>
        <v>1532442</v>
      </c>
      <c r="H506" s="4">
        <f>ROUND(1843505.98,2)</f>
        <v>1843505.98</v>
      </c>
      <c r="I506" s="4">
        <f t="shared" si="83"/>
        <v>0</v>
      </c>
      <c r="J506" s="4">
        <f>ROUND(540772.76,2)</f>
        <v>540772.76</v>
      </c>
      <c r="K506" s="4">
        <f>ROUND(1302733.22,2)</f>
        <v>1302733.22</v>
      </c>
    </row>
    <row r="507" spans="1:11" ht="38.25">
      <c r="A507" s="2" t="s">
        <v>978</v>
      </c>
      <c r="B507" s="3" t="s">
        <v>938</v>
      </c>
      <c r="C507" s="3" t="s">
        <v>1106</v>
      </c>
      <c r="D507" s="4">
        <f>ROUND(512986613.38,2)</f>
        <v>512986613.38</v>
      </c>
      <c r="E507" s="4">
        <f t="shared" si="82"/>
        <v>0</v>
      </c>
      <c r="F507" s="4">
        <f>ROUND(483494965.38,2)</f>
        <v>483494965.38</v>
      </c>
      <c r="G507" s="4">
        <f>ROUND(29491648,2)</f>
        <v>29491648</v>
      </c>
      <c r="H507" s="4">
        <f>ROUND(358125522.07,2)</f>
        <v>358125522.07</v>
      </c>
      <c r="I507" s="4">
        <f t="shared" si="83"/>
        <v>0</v>
      </c>
      <c r="J507" s="4">
        <f>ROUND(343954394.26,2)</f>
        <v>343954394.26</v>
      </c>
      <c r="K507" s="4">
        <f>ROUND(14171127.81,2)</f>
        <v>14171127.81</v>
      </c>
    </row>
    <row r="508" spans="1:11" ht="25.5">
      <c r="A508" s="2" t="s">
        <v>447</v>
      </c>
      <c r="B508" s="3" t="s">
        <v>581</v>
      </c>
      <c r="C508" s="3" t="s">
        <v>1048</v>
      </c>
      <c r="D508" s="4">
        <f>ROUND(499433399.85,2)</f>
        <v>499433399.85</v>
      </c>
      <c r="E508" s="4">
        <f t="shared" si="82"/>
        <v>0</v>
      </c>
      <c r="F508" s="4">
        <f>ROUND(474863999.85,2)</f>
        <v>474863999.85</v>
      </c>
      <c r="G508" s="4">
        <f>ROUND(24569400,2)</f>
        <v>24569400</v>
      </c>
      <c r="H508" s="4">
        <f>ROUND(346595227.08,2)</f>
        <v>346595227.08</v>
      </c>
      <c r="I508" s="4">
        <f t="shared" si="83"/>
        <v>0</v>
      </c>
      <c r="J508" s="4">
        <f>ROUND(336584794.18,2)</f>
        <v>336584794.18</v>
      </c>
      <c r="K508" s="4">
        <f>ROUND(10010432.9,2)</f>
        <v>10010432.9</v>
      </c>
    </row>
    <row r="509" spans="1:11" ht="38.25">
      <c r="A509" s="2" t="s">
        <v>987</v>
      </c>
      <c r="B509" s="3" t="s">
        <v>1124</v>
      </c>
      <c r="C509" s="3" t="s">
        <v>658</v>
      </c>
      <c r="D509" s="4">
        <f>ROUND(11837207.53,2)</f>
        <v>11837207.53</v>
      </c>
      <c r="E509" s="4">
        <f t="shared" si="82"/>
        <v>0</v>
      </c>
      <c r="F509" s="4">
        <f>ROUND(7883465.53,2)</f>
        <v>7883465.53</v>
      </c>
      <c r="G509" s="4">
        <f>ROUND(3953742,2)</f>
        <v>3953742</v>
      </c>
      <c r="H509" s="4">
        <f>ROUND(10204240.38,2)</f>
        <v>10204240.38</v>
      </c>
      <c r="I509" s="4">
        <f t="shared" si="83"/>
        <v>0</v>
      </c>
      <c r="J509" s="4">
        <f>ROUND(6622260.08,2)</f>
        <v>6622260.08</v>
      </c>
      <c r="K509" s="4">
        <f>ROUND(3581980.3,2)</f>
        <v>3581980.3</v>
      </c>
    </row>
    <row r="510" spans="1:11" ht="25.5">
      <c r="A510" s="2" t="s">
        <v>444</v>
      </c>
      <c r="B510" s="3" t="s">
        <v>569</v>
      </c>
      <c r="C510" s="3" t="s">
        <v>1132</v>
      </c>
      <c r="D510" s="4">
        <f>ROUND(1716006,2)</f>
        <v>1716006</v>
      </c>
      <c r="E510" s="4">
        <f t="shared" si="82"/>
        <v>0</v>
      </c>
      <c r="F510" s="4">
        <f>ROUND(747500,2)</f>
        <v>747500</v>
      </c>
      <c r="G510" s="4">
        <f>ROUND(968506,2)</f>
        <v>968506</v>
      </c>
      <c r="H510" s="4">
        <f>ROUND(1326054.61,2)</f>
        <v>1326054.61</v>
      </c>
      <c r="I510" s="4">
        <f t="shared" si="83"/>
        <v>0</v>
      </c>
      <c r="J510" s="4">
        <f>ROUND(747340,2)</f>
        <v>747340</v>
      </c>
      <c r="K510" s="4">
        <f>ROUND(578714.61,2)</f>
        <v>578714.61</v>
      </c>
    </row>
    <row r="511" spans="1:11" ht="51">
      <c r="A511" s="2" t="s">
        <v>288</v>
      </c>
      <c r="B511" s="3" t="s">
        <v>604</v>
      </c>
      <c r="C511" s="3" t="s">
        <v>873</v>
      </c>
      <c r="D511" s="4">
        <f>ROUND(37769828.09,2)</f>
        <v>37769828.09</v>
      </c>
      <c r="E511" s="4">
        <f t="shared" si="82"/>
        <v>0</v>
      </c>
      <c r="F511" s="4">
        <f>ROUND(24596498.6,2)</f>
        <v>24596498.6</v>
      </c>
      <c r="G511" s="4">
        <f>ROUND(13173329.49,2)</f>
        <v>13173329.49</v>
      </c>
      <c r="H511" s="4">
        <f>ROUND(27120102.64,2)</f>
        <v>27120102.64</v>
      </c>
      <c r="I511" s="4">
        <f t="shared" si="83"/>
        <v>0</v>
      </c>
      <c r="J511" s="4">
        <f>ROUND(17757706.77,2)</f>
        <v>17757706.77</v>
      </c>
      <c r="K511" s="4">
        <f>ROUND(9362395.87,2)</f>
        <v>9362395.87</v>
      </c>
    </row>
    <row r="512" spans="1:11" ht="25.5">
      <c r="A512" s="2" t="s">
        <v>805</v>
      </c>
      <c r="B512" s="3" t="s">
        <v>649</v>
      </c>
      <c r="C512" s="3" t="s">
        <v>179</v>
      </c>
      <c r="D512" s="4">
        <f>ROUND(15514787.34,2)</f>
        <v>15514787.34</v>
      </c>
      <c r="E512" s="4">
        <f t="shared" si="82"/>
        <v>0</v>
      </c>
      <c r="F512" s="4">
        <f>ROUND(11781325.34,2)</f>
        <v>11781325.34</v>
      </c>
      <c r="G512" s="4">
        <f>ROUND(3733462,2)</f>
        <v>3733462</v>
      </c>
      <c r="H512" s="4">
        <f>ROUND(12622872.53,2)</f>
        <v>12622872.53</v>
      </c>
      <c r="I512" s="4">
        <f t="shared" si="83"/>
        <v>0</v>
      </c>
      <c r="J512" s="4">
        <f>ROUND(9697374.37,2)</f>
        <v>9697374.37</v>
      </c>
      <c r="K512" s="4">
        <f>ROUND(2925498.16,2)</f>
        <v>2925498.16</v>
      </c>
    </row>
    <row r="513" spans="1:11" ht="25.5">
      <c r="A513" s="2" t="s">
        <v>641</v>
      </c>
      <c r="B513" s="3" t="s">
        <v>772</v>
      </c>
      <c r="C513" s="3" t="s">
        <v>733</v>
      </c>
      <c r="D513" s="4">
        <f>ROUND(1065547,2)</f>
        <v>1065547</v>
      </c>
      <c r="E513" s="4">
        <f t="shared" si="82"/>
        <v>0</v>
      </c>
      <c r="F513" s="4">
        <f>ROUND(130700,2)</f>
        <v>130700</v>
      </c>
      <c r="G513" s="4">
        <f>ROUND(934847,2)</f>
        <v>934847</v>
      </c>
      <c r="H513" s="4">
        <f>ROUND(375250,2)</f>
        <v>375250</v>
      </c>
      <c r="I513" s="4">
        <f t="shared" si="83"/>
        <v>0</v>
      </c>
      <c r="J513" s="4">
        <f>ROUND(0,2)</f>
        <v>0</v>
      </c>
      <c r="K513" s="4">
        <f>ROUND(375250,2)</f>
        <v>375250</v>
      </c>
    </row>
    <row r="514" spans="1:11" ht="25.5">
      <c r="A514" s="2" t="s">
        <v>166</v>
      </c>
      <c r="B514" s="3" t="s">
        <v>35</v>
      </c>
      <c r="C514" s="3" t="s">
        <v>233</v>
      </c>
      <c r="D514" s="4">
        <f>ROUND(7770393.91,2)</f>
        <v>7770393.91</v>
      </c>
      <c r="E514" s="4">
        <f t="shared" si="82"/>
        <v>0</v>
      </c>
      <c r="F514" s="4">
        <f>ROUND(5359437.42,2)</f>
        <v>5359437.42</v>
      </c>
      <c r="G514" s="4">
        <f>ROUND(2410956.49,2)</f>
        <v>2410956.49</v>
      </c>
      <c r="H514" s="4">
        <f>ROUND(5640204.34,2)</f>
        <v>5640204.34</v>
      </c>
      <c r="I514" s="4">
        <f t="shared" si="83"/>
        <v>0</v>
      </c>
      <c r="J514" s="4">
        <f>ROUND(3877957.78,2)</f>
        <v>3877957.78</v>
      </c>
      <c r="K514" s="4">
        <f>ROUND(1762246.56,2)</f>
        <v>1762246.56</v>
      </c>
    </row>
    <row r="515" spans="1:11" ht="25.5">
      <c r="A515" s="2" t="s">
        <v>849</v>
      </c>
      <c r="B515" s="3" t="s">
        <v>693</v>
      </c>
      <c r="C515" s="3" t="s">
        <v>183</v>
      </c>
      <c r="D515" s="4">
        <f>ROUND(357500,2)</f>
        <v>357500</v>
      </c>
      <c r="E515" s="4">
        <f t="shared" si="82"/>
        <v>0</v>
      </c>
      <c r="F515" s="4">
        <f>ROUND(357500,2)</f>
        <v>357500</v>
      </c>
      <c r="G515" s="4">
        <f>ROUND(0,2)</f>
        <v>0</v>
      </c>
      <c r="H515" s="4">
        <f>ROUND(351116.84,2)</f>
        <v>351116.84</v>
      </c>
      <c r="I515" s="4">
        <f t="shared" si="83"/>
        <v>0</v>
      </c>
      <c r="J515" s="4">
        <f>ROUND(351116.84,2)</f>
        <v>351116.84</v>
      </c>
      <c r="K515" s="4">
        <f>ROUND(0,2)</f>
        <v>0</v>
      </c>
    </row>
    <row r="516" spans="1:11" ht="51">
      <c r="A516" s="2" t="s">
        <v>40</v>
      </c>
      <c r="B516" s="3" t="s">
        <v>197</v>
      </c>
      <c r="C516" s="3" t="s">
        <v>1079</v>
      </c>
      <c r="D516" s="4">
        <f>ROUND(7805085.84,2)</f>
        <v>7805085.84</v>
      </c>
      <c r="E516" s="4">
        <f t="shared" si="82"/>
        <v>0</v>
      </c>
      <c r="F516" s="4">
        <f>ROUND(3854546.84,2)</f>
        <v>3854546.84</v>
      </c>
      <c r="G516" s="4">
        <f>ROUND(3950539,2)</f>
        <v>3950539</v>
      </c>
      <c r="H516" s="4">
        <f>ROUND(4638099.7,2)</f>
        <v>4638099.7</v>
      </c>
      <c r="I516" s="4">
        <f t="shared" si="83"/>
        <v>0</v>
      </c>
      <c r="J516" s="4">
        <f>ROUND(2019142.85,2)</f>
        <v>2019142.85</v>
      </c>
      <c r="K516" s="4">
        <f>ROUND(2618956.85,2)</f>
        <v>2618956.85</v>
      </c>
    </row>
    <row r="517" spans="1:11" ht="25.5">
      <c r="A517" s="2" t="s">
        <v>750</v>
      </c>
      <c r="B517" s="3" t="s">
        <v>903</v>
      </c>
      <c r="C517" s="3" t="s">
        <v>1132</v>
      </c>
      <c r="D517" s="4">
        <f>ROUND(5256514,2)</f>
        <v>5256514</v>
      </c>
      <c r="E517" s="4">
        <f t="shared" si="82"/>
        <v>0</v>
      </c>
      <c r="F517" s="4">
        <f>ROUND(3112989,2)</f>
        <v>3112989</v>
      </c>
      <c r="G517" s="4">
        <f>ROUND(2143525,2)</f>
        <v>2143525</v>
      </c>
      <c r="H517" s="4">
        <f>ROUND(3492559.23,2)</f>
        <v>3492559.23</v>
      </c>
      <c r="I517" s="4">
        <f t="shared" si="83"/>
        <v>0</v>
      </c>
      <c r="J517" s="4">
        <f>ROUND(1812114.93,2)</f>
        <v>1812114.93</v>
      </c>
      <c r="K517" s="4">
        <f>ROUND(1680444.3,2)</f>
        <v>1680444.3</v>
      </c>
    </row>
    <row r="518" spans="1:11" ht="25.5">
      <c r="A518" s="2" t="s">
        <v>59</v>
      </c>
      <c r="B518" s="3" t="s">
        <v>211</v>
      </c>
      <c r="C518" s="3" t="s">
        <v>1159</v>
      </c>
      <c r="D518" s="4">
        <f>ROUND(520571295.38,2)</f>
        <v>520571295.38</v>
      </c>
      <c r="E518" s="4">
        <f t="shared" si="82"/>
        <v>0</v>
      </c>
      <c r="F518" s="4">
        <f>ROUND(485404915.38,2)</f>
        <v>485404915.38</v>
      </c>
      <c r="G518" s="4">
        <f>ROUND(35166380,2)</f>
        <v>35166380</v>
      </c>
      <c r="H518" s="4">
        <f>ROUND(361447019.38,2)</f>
        <v>361447019.38</v>
      </c>
      <c r="I518" s="4">
        <f t="shared" si="83"/>
        <v>0</v>
      </c>
      <c r="J518" s="4">
        <f>ROUND(345864459.26,2)</f>
        <v>345864459.26</v>
      </c>
      <c r="K518" s="4">
        <f>ROUND(15582560.12,2)</f>
        <v>15582560.12</v>
      </c>
    </row>
    <row r="519" spans="1:11" ht="38.25">
      <c r="A519" s="2" t="s">
        <v>722</v>
      </c>
      <c r="B519" s="3" t="s">
        <v>887</v>
      </c>
      <c r="C519" s="3" t="s">
        <v>164</v>
      </c>
      <c r="D519" s="4">
        <f>ROUND(495017470.45,2)</f>
        <v>495017470.45</v>
      </c>
      <c r="E519" s="4">
        <f t="shared" si="82"/>
        <v>0</v>
      </c>
      <c r="F519" s="4">
        <f>ROUND(478363835.45,2)</f>
        <v>478363835.45</v>
      </c>
      <c r="G519" s="4">
        <f>ROUND(16653635,2)</f>
        <v>16653635</v>
      </c>
      <c r="H519" s="4">
        <f>ROUND(343937481.75,2)</f>
        <v>343937481.75</v>
      </c>
      <c r="I519" s="4">
        <f t="shared" si="83"/>
        <v>0</v>
      </c>
      <c r="J519" s="4">
        <f>ROUND(340385981.68,2)</f>
        <v>340385981.68</v>
      </c>
      <c r="K519" s="4">
        <f>ROUND(3551500.07,2)</f>
        <v>3551500.07</v>
      </c>
    </row>
    <row r="520" spans="1:11" ht="25.5">
      <c r="A520" s="2" t="s">
        <v>579</v>
      </c>
      <c r="B520" s="3" t="s">
        <v>453</v>
      </c>
      <c r="C520" s="3" t="s">
        <v>28</v>
      </c>
      <c r="D520" s="4">
        <f>ROUND(25553824.93,2)</f>
        <v>25553824.93</v>
      </c>
      <c r="E520" s="4">
        <f t="shared" si="82"/>
        <v>0</v>
      </c>
      <c r="F520" s="4">
        <f>ROUND(7041079.93,2)</f>
        <v>7041079.93</v>
      </c>
      <c r="G520" s="4">
        <f>ROUND(18512745,2)</f>
        <v>18512745</v>
      </c>
      <c r="H520" s="4">
        <f>ROUND(17509537.63,2)</f>
        <v>17509537.63</v>
      </c>
      <c r="I520" s="4">
        <f t="shared" si="83"/>
        <v>0</v>
      </c>
      <c r="J520" s="4">
        <f>ROUND(5478477.58,2)</f>
        <v>5478477.58</v>
      </c>
      <c r="K520" s="4">
        <f>ROUND(12031060.05,2)</f>
        <v>12031060.05</v>
      </c>
    </row>
    <row r="521" spans="1:11" ht="76.5">
      <c r="A521" s="2" t="s">
        <v>1111</v>
      </c>
      <c r="B521" s="3" t="s">
        <v>970</v>
      </c>
      <c r="C521" s="3" t="s">
        <v>678</v>
      </c>
      <c r="D521" s="4">
        <f>ROUND(287700,2)</f>
        <v>287700</v>
      </c>
      <c r="E521" s="4">
        <f t="shared" si="82"/>
        <v>0</v>
      </c>
      <c r="F521" s="4">
        <f>ROUND(287700,2)</f>
        <v>287700</v>
      </c>
      <c r="G521" s="4">
        <f aca="true" t="shared" si="84" ref="G521:G539">ROUND(0,2)</f>
        <v>0</v>
      </c>
      <c r="H521" s="4">
        <f>ROUND(82026,2)</f>
        <v>82026</v>
      </c>
      <c r="I521" s="4">
        <f t="shared" si="83"/>
        <v>0</v>
      </c>
      <c r="J521" s="4">
        <f>ROUND(82026,2)</f>
        <v>82026</v>
      </c>
      <c r="K521" s="4">
        <f aca="true" t="shared" si="85" ref="K521:K539">ROUND(0,2)</f>
        <v>0</v>
      </c>
    </row>
    <row r="522" spans="1:11" ht="25.5">
      <c r="A522" s="2" t="s">
        <v>394</v>
      </c>
      <c r="B522" s="3" t="s">
        <v>538</v>
      </c>
      <c r="C522" s="3" t="s">
        <v>482</v>
      </c>
      <c r="D522" s="4">
        <f>ROUND(213974,2)</f>
        <v>213974</v>
      </c>
      <c r="E522" s="4">
        <f t="shared" si="82"/>
        <v>0</v>
      </c>
      <c r="F522" s="4">
        <f>ROUND(213974,2)</f>
        <v>213974</v>
      </c>
      <c r="G522" s="4">
        <f t="shared" si="84"/>
        <v>0</v>
      </c>
      <c r="H522" s="4">
        <f>ROUND(63000,2)</f>
        <v>63000</v>
      </c>
      <c r="I522" s="4">
        <f t="shared" si="83"/>
        <v>0</v>
      </c>
      <c r="J522" s="4">
        <f>ROUND(63000,2)</f>
        <v>63000</v>
      </c>
      <c r="K522" s="4">
        <f t="shared" si="85"/>
        <v>0</v>
      </c>
    </row>
    <row r="523" spans="1:11" ht="25.5">
      <c r="A523" s="2" t="s">
        <v>957</v>
      </c>
      <c r="B523" s="3" t="s">
        <v>1082</v>
      </c>
      <c r="C523" s="3" t="s">
        <v>1127</v>
      </c>
      <c r="D523" s="4">
        <f>ROUND(73726,2)</f>
        <v>73726</v>
      </c>
      <c r="E523" s="4">
        <f aca="true" t="shared" si="86" ref="E523:E539">ROUND(0,2)</f>
        <v>0</v>
      </c>
      <c r="F523" s="4">
        <f>ROUND(73726,2)</f>
        <v>73726</v>
      </c>
      <c r="G523" s="4">
        <f t="shared" si="84"/>
        <v>0</v>
      </c>
      <c r="H523" s="4">
        <f>ROUND(19026,2)</f>
        <v>19026</v>
      </c>
      <c r="I523" s="4">
        <f aca="true" t="shared" si="87" ref="I523:I539">ROUND(0,2)</f>
        <v>0</v>
      </c>
      <c r="J523" s="4">
        <f>ROUND(19026,2)</f>
        <v>19026</v>
      </c>
      <c r="K523" s="4">
        <f t="shared" si="85"/>
        <v>0</v>
      </c>
    </row>
    <row r="524" spans="1:11" ht="76.5">
      <c r="A524" s="2" t="s">
        <v>1057</v>
      </c>
      <c r="B524" s="3" t="s">
        <v>1183</v>
      </c>
      <c r="C524" s="3" t="s">
        <v>334</v>
      </c>
      <c r="D524" s="4">
        <f>ROUND(149803475.86,2)</f>
        <v>149803475.86</v>
      </c>
      <c r="E524" s="4">
        <f t="shared" si="86"/>
        <v>0</v>
      </c>
      <c r="F524" s="4">
        <f>ROUND(149803475.86,2)</f>
        <v>149803475.86</v>
      </c>
      <c r="G524" s="4">
        <f t="shared" si="84"/>
        <v>0</v>
      </c>
      <c r="H524" s="4">
        <f>ROUND(134993355.17,2)</f>
        <v>134993355.17</v>
      </c>
      <c r="I524" s="4">
        <f t="shared" si="87"/>
        <v>0</v>
      </c>
      <c r="J524" s="4">
        <f>ROUND(134993355.17,2)</f>
        <v>134993355.17</v>
      </c>
      <c r="K524" s="4">
        <f t="shared" si="85"/>
        <v>0</v>
      </c>
    </row>
    <row r="525" spans="1:11" ht="127.5">
      <c r="A525" s="2" t="s">
        <v>384</v>
      </c>
      <c r="B525" s="3" t="s">
        <v>518</v>
      </c>
      <c r="C525" s="3" t="s">
        <v>587</v>
      </c>
      <c r="D525" s="4">
        <f>ROUND(104060737.93,2)</f>
        <v>104060737.93</v>
      </c>
      <c r="E525" s="4">
        <f t="shared" si="86"/>
        <v>0</v>
      </c>
      <c r="F525" s="4">
        <f>ROUND(104060737.93,2)</f>
        <v>104060737.93</v>
      </c>
      <c r="G525" s="4">
        <f t="shared" si="84"/>
        <v>0</v>
      </c>
      <c r="H525" s="4">
        <f>ROUND(90285045.96,2)</f>
        <v>90285045.96</v>
      </c>
      <c r="I525" s="4">
        <f t="shared" si="87"/>
        <v>0</v>
      </c>
      <c r="J525" s="4">
        <f>ROUND(90285045.96,2)</f>
        <v>90285045.96</v>
      </c>
      <c r="K525" s="4">
        <f t="shared" si="85"/>
        <v>0</v>
      </c>
    </row>
    <row r="526" spans="1:11" ht="153">
      <c r="A526" s="2" t="s">
        <v>1031</v>
      </c>
      <c r="B526" s="3" t="s">
        <v>1179</v>
      </c>
      <c r="C526" s="3" t="s">
        <v>452</v>
      </c>
      <c r="D526" s="4">
        <f>ROUND(34858000,2)</f>
        <v>34858000</v>
      </c>
      <c r="E526" s="4">
        <f t="shared" si="86"/>
        <v>0</v>
      </c>
      <c r="F526" s="4">
        <f>ROUND(34858000,2)</f>
        <v>34858000</v>
      </c>
      <c r="G526" s="4">
        <f t="shared" si="84"/>
        <v>0</v>
      </c>
      <c r="H526" s="4">
        <f>ROUND(21911901.24,2)</f>
        <v>21911901.24</v>
      </c>
      <c r="I526" s="4">
        <f t="shared" si="87"/>
        <v>0</v>
      </c>
      <c r="J526" s="4">
        <f>ROUND(21911901.24,2)</f>
        <v>21911901.24</v>
      </c>
      <c r="K526" s="4">
        <f t="shared" si="85"/>
        <v>0</v>
      </c>
    </row>
    <row r="527" spans="1:11" ht="51">
      <c r="A527" s="2" t="s">
        <v>889</v>
      </c>
      <c r="B527" s="3" t="s">
        <v>720</v>
      </c>
      <c r="C527" s="3" t="s">
        <v>771</v>
      </c>
      <c r="D527" s="4">
        <f>ROUND(45742737.93,2)</f>
        <v>45742737.93</v>
      </c>
      <c r="E527" s="4">
        <f t="shared" si="86"/>
        <v>0</v>
      </c>
      <c r="F527" s="4">
        <f>ROUND(45742737.93,2)</f>
        <v>45742737.93</v>
      </c>
      <c r="G527" s="4">
        <f t="shared" si="84"/>
        <v>0</v>
      </c>
      <c r="H527" s="4">
        <f>ROUND(44708309.21,2)</f>
        <v>44708309.21</v>
      </c>
      <c r="I527" s="4">
        <f t="shared" si="87"/>
        <v>0</v>
      </c>
      <c r="J527" s="4">
        <f>ROUND(44708309.21,2)</f>
        <v>44708309.21</v>
      </c>
      <c r="K527" s="4">
        <f t="shared" si="85"/>
        <v>0</v>
      </c>
    </row>
    <row r="528" spans="1:11" ht="51">
      <c r="A528" s="2" t="s">
        <v>203</v>
      </c>
      <c r="B528" s="3" t="s">
        <v>57</v>
      </c>
      <c r="C528" s="3" t="s">
        <v>878</v>
      </c>
      <c r="D528" s="4">
        <f>ROUND(28206800,2)</f>
        <v>28206800</v>
      </c>
      <c r="E528" s="4">
        <f t="shared" si="86"/>
        <v>0</v>
      </c>
      <c r="F528" s="4">
        <f>ROUND(28206800,2)</f>
        <v>28206800</v>
      </c>
      <c r="G528" s="4">
        <f t="shared" si="84"/>
        <v>0</v>
      </c>
      <c r="H528" s="4">
        <f>ROUND(16182226.9,2)</f>
        <v>16182226.9</v>
      </c>
      <c r="I528" s="4">
        <f t="shared" si="87"/>
        <v>0</v>
      </c>
      <c r="J528" s="4">
        <f>ROUND(16182226.9,2)</f>
        <v>16182226.9</v>
      </c>
      <c r="K528" s="4">
        <f t="shared" si="85"/>
        <v>0</v>
      </c>
    </row>
    <row r="529" spans="1:11" ht="25.5">
      <c r="A529" s="2" t="s">
        <v>717</v>
      </c>
      <c r="B529" s="3" t="s">
        <v>859</v>
      </c>
      <c r="C529" s="3" t="s">
        <v>465</v>
      </c>
      <c r="D529" s="4">
        <f>ROUND(18938700,2)</f>
        <v>18938700</v>
      </c>
      <c r="E529" s="4">
        <f t="shared" si="86"/>
        <v>0</v>
      </c>
      <c r="F529" s="4">
        <f>ROUND(18938700,2)</f>
        <v>18938700</v>
      </c>
      <c r="G529" s="4">
        <f t="shared" si="84"/>
        <v>0</v>
      </c>
      <c r="H529" s="4">
        <f>ROUND(10252563.62,2)</f>
        <v>10252563.62</v>
      </c>
      <c r="I529" s="4">
        <f t="shared" si="87"/>
        <v>0</v>
      </c>
      <c r="J529" s="4">
        <f>ROUND(10252563.62,2)</f>
        <v>10252563.62</v>
      </c>
      <c r="K529" s="4">
        <f t="shared" si="85"/>
        <v>0</v>
      </c>
    </row>
    <row r="530" spans="1:11" ht="25.5">
      <c r="A530" s="2" t="s">
        <v>4</v>
      </c>
      <c r="B530" s="3" t="s">
        <v>155</v>
      </c>
      <c r="C530" s="3" t="s">
        <v>1094</v>
      </c>
      <c r="D530" s="4">
        <f>ROUND(82900,2)</f>
        <v>82900</v>
      </c>
      <c r="E530" s="4">
        <f t="shared" si="86"/>
        <v>0</v>
      </c>
      <c r="F530" s="4">
        <f>ROUND(82900,2)</f>
        <v>82900</v>
      </c>
      <c r="G530" s="4">
        <f t="shared" si="84"/>
        <v>0</v>
      </c>
      <c r="H530" s="4">
        <f>ROUND(28300,2)</f>
        <v>28300</v>
      </c>
      <c r="I530" s="4">
        <f t="shared" si="87"/>
        <v>0</v>
      </c>
      <c r="J530" s="4">
        <f>ROUND(28300,2)</f>
        <v>28300</v>
      </c>
      <c r="K530" s="4">
        <f t="shared" si="85"/>
        <v>0</v>
      </c>
    </row>
    <row r="531" spans="1:11" ht="25.5">
      <c r="A531" s="2" t="s">
        <v>768</v>
      </c>
      <c r="B531" s="3" t="s">
        <v>605</v>
      </c>
      <c r="C531" s="3" t="s">
        <v>21</v>
      </c>
      <c r="D531" s="4">
        <f>ROUND(5719500,2)</f>
        <v>5719500</v>
      </c>
      <c r="E531" s="4">
        <f t="shared" si="86"/>
        <v>0</v>
      </c>
      <c r="F531" s="4">
        <f>ROUND(5719500,2)</f>
        <v>5719500</v>
      </c>
      <c r="G531" s="4">
        <f t="shared" si="84"/>
        <v>0</v>
      </c>
      <c r="H531" s="4">
        <f>ROUND(3140911.13,2)</f>
        <v>3140911.13</v>
      </c>
      <c r="I531" s="4">
        <f t="shared" si="87"/>
        <v>0</v>
      </c>
      <c r="J531" s="4">
        <f>ROUND(3140911.13,2)</f>
        <v>3140911.13</v>
      </c>
      <c r="K531" s="4">
        <f t="shared" si="85"/>
        <v>0</v>
      </c>
    </row>
    <row r="532" spans="1:11" ht="25.5">
      <c r="A532" s="2" t="s">
        <v>244</v>
      </c>
      <c r="B532" s="3" t="s">
        <v>108</v>
      </c>
      <c r="C532" s="3" t="s">
        <v>736</v>
      </c>
      <c r="D532" s="4">
        <f>ROUND(198000,2)</f>
        <v>198000</v>
      </c>
      <c r="E532" s="4">
        <f t="shared" si="86"/>
        <v>0</v>
      </c>
      <c r="F532" s="4">
        <f>ROUND(198000,2)</f>
        <v>198000</v>
      </c>
      <c r="G532" s="4">
        <f t="shared" si="84"/>
        <v>0</v>
      </c>
      <c r="H532" s="4">
        <f>ROUND(138901.32,2)</f>
        <v>138901.32</v>
      </c>
      <c r="I532" s="4">
        <f t="shared" si="87"/>
        <v>0</v>
      </c>
      <c r="J532" s="4">
        <f>ROUND(138901.32,2)</f>
        <v>138901.32</v>
      </c>
      <c r="K532" s="4">
        <f t="shared" si="85"/>
        <v>0</v>
      </c>
    </row>
    <row r="533" spans="1:11" ht="25.5">
      <c r="A533" s="2" t="s">
        <v>685</v>
      </c>
      <c r="B533" s="3" t="s">
        <v>822</v>
      </c>
      <c r="C533" s="3" t="s">
        <v>531</v>
      </c>
      <c r="D533" s="4">
        <f>ROUND(66100,2)</f>
        <v>66100</v>
      </c>
      <c r="E533" s="4">
        <f t="shared" si="86"/>
        <v>0</v>
      </c>
      <c r="F533" s="4">
        <f>ROUND(66100,2)</f>
        <v>66100</v>
      </c>
      <c r="G533" s="4">
        <f t="shared" si="84"/>
        <v>0</v>
      </c>
      <c r="H533" s="4">
        <f>ROUND(27811.96,2)</f>
        <v>27811.96</v>
      </c>
      <c r="I533" s="4">
        <f t="shared" si="87"/>
        <v>0</v>
      </c>
      <c r="J533" s="4">
        <f>ROUND(27811.96,2)</f>
        <v>27811.96</v>
      </c>
      <c r="K533" s="4">
        <f t="shared" si="85"/>
        <v>0</v>
      </c>
    </row>
    <row r="534" spans="1:11" ht="25.5">
      <c r="A534" s="2" t="s">
        <v>118</v>
      </c>
      <c r="B534" s="3" t="s">
        <v>279</v>
      </c>
      <c r="C534" s="3" t="s">
        <v>1008</v>
      </c>
      <c r="D534" s="4">
        <f>ROUND(1264800,2)</f>
        <v>1264800</v>
      </c>
      <c r="E534" s="4">
        <f t="shared" si="86"/>
        <v>0</v>
      </c>
      <c r="F534" s="4">
        <f>ROUND(1264800,2)</f>
        <v>1264800</v>
      </c>
      <c r="G534" s="4">
        <f t="shared" si="84"/>
        <v>0</v>
      </c>
      <c r="H534" s="4">
        <f>ROUND(1134593.03,2)</f>
        <v>1134593.03</v>
      </c>
      <c r="I534" s="4">
        <f t="shared" si="87"/>
        <v>0</v>
      </c>
      <c r="J534" s="4">
        <f>ROUND(1134593.03,2)</f>
        <v>1134593.03</v>
      </c>
      <c r="K534" s="4">
        <f t="shared" si="85"/>
        <v>0</v>
      </c>
    </row>
    <row r="535" spans="1:11" ht="38.25">
      <c r="A535" s="2" t="s">
        <v>145</v>
      </c>
      <c r="B535" s="3" t="s">
        <v>287</v>
      </c>
      <c r="C535" s="3" t="s">
        <v>1071</v>
      </c>
      <c r="D535" s="4">
        <f>ROUND(401400,2)</f>
        <v>401400</v>
      </c>
      <c r="E535" s="4">
        <f t="shared" si="86"/>
        <v>0</v>
      </c>
      <c r="F535" s="4">
        <f>ROUND(401400,2)</f>
        <v>401400</v>
      </c>
      <c r="G535" s="4">
        <f t="shared" si="84"/>
        <v>0</v>
      </c>
      <c r="H535" s="4">
        <f>ROUND(295916.98,2)</f>
        <v>295916.98</v>
      </c>
      <c r="I535" s="4">
        <f t="shared" si="87"/>
        <v>0</v>
      </c>
      <c r="J535" s="4">
        <f>ROUND(295916.98,2)</f>
        <v>295916.98</v>
      </c>
      <c r="K535" s="4">
        <f t="shared" si="85"/>
        <v>0</v>
      </c>
    </row>
    <row r="536" spans="1:11" ht="25.5">
      <c r="A536" s="2" t="s">
        <v>1182</v>
      </c>
      <c r="B536" s="3" t="s">
        <v>1026</v>
      </c>
      <c r="C536" s="3" t="s">
        <v>469</v>
      </c>
      <c r="D536" s="4">
        <f>ROUND(406500,2)</f>
        <v>406500</v>
      </c>
      <c r="E536" s="4">
        <f t="shared" si="86"/>
        <v>0</v>
      </c>
      <c r="F536" s="4">
        <f>ROUND(406500,2)</f>
        <v>406500</v>
      </c>
      <c r="G536" s="4">
        <f t="shared" si="84"/>
        <v>0</v>
      </c>
      <c r="H536" s="4">
        <f>ROUND(267830.74,2)</f>
        <v>267830.74</v>
      </c>
      <c r="I536" s="4">
        <f t="shared" si="87"/>
        <v>0</v>
      </c>
      <c r="J536" s="4">
        <f>ROUND(267830.74,2)</f>
        <v>267830.74</v>
      </c>
      <c r="K536" s="4">
        <f t="shared" si="85"/>
        <v>0</v>
      </c>
    </row>
    <row r="537" spans="1:11" ht="25.5">
      <c r="A537" s="2" t="s">
        <v>1019</v>
      </c>
      <c r="B537" s="3" t="s">
        <v>1155</v>
      </c>
      <c r="C537" s="3" t="s">
        <v>1114</v>
      </c>
      <c r="D537" s="4">
        <f>ROUND(28900,2)</f>
        <v>28900</v>
      </c>
      <c r="E537" s="4">
        <f t="shared" si="86"/>
        <v>0</v>
      </c>
      <c r="F537" s="4">
        <f>ROUND(28900,2)</f>
        <v>28900</v>
      </c>
      <c r="G537" s="4">
        <f t="shared" si="84"/>
        <v>0</v>
      </c>
      <c r="H537" s="4">
        <f>ROUND(18904.9,2)</f>
        <v>18904.9</v>
      </c>
      <c r="I537" s="4">
        <f t="shared" si="87"/>
        <v>0</v>
      </c>
      <c r="J537" s="4">
        <f>ROUND(18904.9,2)</f>
        <v>18904.9</v>
      </c>
      <c r="K537" s="4">
        <f t="shared" si="85"/>
        <v>0</v>
      </c>
    </row>
    <row r="538" spans="1:11" ht="38.25">
      <c r="A538" s="2" t="s">
        <v>324</v>
      </c>
      <c r="B538" s="3" t="s">
        <v>470</v>
      </c>
      <c r="C538" s="3" t="s">
        <v>1106</v>
      </c>
      <c r="D538" s="4">
        <f>ROUND(245881,2)</f>
        <v>245881</v>
      </c>
      <c r="E538" s="4">
        <f t="shared" si="86"/>
        <v>0</v>
      </c>
      <c r="F538" s="4">
        <f>ROUND(245881,2)</f>
        <v>245881</v>
      </c>
      <c r="G538" s="4">
        <f t="shared" si="84"/>
        <v>0</v>
      </c>
      <c r="H538" s="4">
        <f>ROUND(167016,2)</f>
        <v>167016</v>
      </c>
      <c r="I538" s="4">
        <f t="shared" si="87"/>
        <v>0</v>
      </c>
      <c r="J538" s="4">
        <f>ROUND(167016,2)</f>
        <v>167016</v>
      </c>
      <c r="K538" s="4">
        <f t="shared" si="85"/>
        <v>0</v>
      </c>
    </row>
    <row r="539" spans="1:11" ht="51">
      <c r="A539" s="2" t="s">
        <v>548</v>
      </c>
      <c r="B539" s="3" t="s">
        <v>421</v>
      </c>
      <c r="C539" s="3" t="s">
        <v>873</v>
      </c>
      <c r="D539" s="4">
        <f>ROUND(854119,2)</f>
        <v>854119</v>
      </c>
      <c r="E539" s="4">
        <f t="shared" si="86"/>
        <v>0</v>
      </c>
      <c r="F539" s="4">
        <f>ROUND(854119,2)</f>
        <v>854119</v>
      </c>
      <c r="G539" s="4">
        <f t="shared" si="84"/>
        <v>0</v>
      </c>
      <c r="H539" s="4">
        <f>ROUND(709477.22,2)</f>
        <v>709477.22</v>
      </c>
      <c r="I539" s="4">
        <f t="shared" si="87"/>
        <v>0</v>
      </c>
      <c r="J539" s="4">
        <f>ROUND(709477.22,2)</f>
        <v>709477.22</v>
      </c>
      <c r="K539" s="4">
        <f t="shared" si="85"/>
        <v>0</v>
      </c>
    </row>
    <row r="540" spans="1:11" ht="12.75">
      <c r="A540" s="6" t="s">
        <v>893</v>
      </c>
      <c r="B540" s="5"/>
      <c r="C540" s="5"/>
      <c r="D540" s="5"/>
      <c r="E540" s="6" t="s">
        <v>893</v>
      </c>
      <c r="F540" s="5"/>
      <c r="G540" s="5"/>
      <c r="H540" s="5"/>
      <c r="I540" s="6" t="s">
        <v>893</v>
      </c>
      <c r="J540" s="5"/>
      <c r="K540" s="5"/>
    </row>
    <row r="541" spans="1:11" ht="12.75">
      <c r="A541" s="12" t="s">
        <v>1199</v>
      </c>
      <c r="B541" s="5"/>
      <c r="C541" s="5"/>
      <c r="D541" s="5"/>
      <c r="E541" s="8" t="s">
        <v>490</v>
      </c>
      <c r="F541" s="5"/>
      <c r="G541" s="5"/>
      <c r="H541" s="5"/>
      <c r="I541" s="13" t="s">
        <v>1201</v>
      </c>
      <c r="J541" s="5"/>
      <c r="K541" s="5"/>
    </row>
    <row r="542" spans="1:11" ht="12.75">
      <c r="A542" s="7" t="s">
        <v>893</v>
      </c>
      <c r="B542" s="5"/>
      <c r="C542" s="5"/>
      <c r="D542" s="5"/>
      <c r="E542" s="7" t="s">
        <v>893</v>
      </c>
      <c r="F542" s="5"/>
      <c r="G542" s="5"/>
      <c r="H542" s="5"/>
      <c r="I542" s="6" t="s">
        <v>893</v>
      </c>
      <c r="J542" s="5"/>
      <c r="K542" s="5"/>
    </row>
    <row r="543" spans="1:11" ht="12.75">
      <c r="A543" s="12" t="s">
        <v>1200</v>
      </c>
      <c r="B543" s="5"/>
      <c r="C543" s="5"/>
      <c r="D543" s="5"/>
      <c r="E543" s="8" t="s">
        <v>490</v>
      </c>
      <c r="F543" s="5"/>
      <c r="G543" s="5"/>
      <c r="H543" s="5"/>
      <c r="I543" s="13" t="s">
        <v>1202</v>
      </c>
      <c r="J543" s="5"/>
      <c r="K543" s="5"/>
    </row>
  </sheetData>
  <mergeCells count="21">
    <mergeCell ref="E3:H3"/>
    <mergeCell ref="I1:K1"/>
    <mergeCell ref="I2:K2"/>
    <mergeCell ref="I3:K3"/>
    <mergeCell ref="A540:D540"/>
    <mergeCell ref="I540:K540"/>
    <mergeCell ref="A1:D1"/>
    <mergeCell ref="A2:D2"/>
    <mergeCell ref="A3:D3"/>
    <mergeCell ref="E1:H1"/>
    <mergeCell ref="E2:H2"/>
    <mergeCell ref="E540:H540"/>
    <mergeCell ref="E541:H541"/>
    <mergeCell ref="E542:H542"/>
    <mergeCell ref="E543:H543"/>
    <mergeCell ref="I541:K541"/>
    <mergeCell ref="I542:K542"/>
    <mergeCell ref="I543:K543"/>
    <mergeCell ref="A541:D541"/>
    <mergeCell ref="A542:D542"/>
    <mergeCell ref="A543:D543"/>
  </mergeCells>
  <printOptions gridLines="1"/>
  <pageMargins left="0.75" right="0.75" top="0.4166666666666667" bottom="0.4166666666666667" header="0.1388888888888889" footer="0.4166666666666667"/>
  <pageSetup horizontalDpi="600" verticalDpi="600" orientation="landscape" paperSize="9" scale="78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cp:lastPrinted>2012-10-17T06:12:53Z</cp:lastPrinted>
  <dcterms:created xsi:type="dcterms:W3CDTF">2012-10-17T06:04:08Z</dcterms:created>
  <dcterms:modified xsi:type="dcterms:W3CDTF">2012-10-17T06:13:03Z</dcterms:modified>
  <cp:category/>
  <cp:version/>
  <cp:contentType/>
  <cp:contentStatus/>
</cp:coreProperties>
</file>