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  <definedName name="_xlnm.Print_Area" localSheetId="0">'Sheet2'!$A$1:$K$38</definedName>
  </definedNames>
  <calcPr fullCalcOnLoad="1"/>
</workbook>
</file>

<file path=xl/sharedStrings.xml><?xml version="1.0" encoding="utf-8"?>
<sst xmlns="http://schemas.openxmlformats.org/spreadsheetml/2006/main" count="109" uniqueCount="105">
  <si>
    <t>18,10</t>
  </si>
  <si>
    <t>16  16 Муниципальные районы Исполнено</t>
  </si>
  <si>
    <t>00000000000000000226</t>
  </si>
  <si>
    <t>Обслуживание внутренних долговых обязательств</t>
  </si>
  <si>
    <t>Социальные пособия, выплачиваемые организациями сектора государственного управления</t>
  </si>
  <si>
    <t>12  12 Консолидированный Исполнено</t>
  </si>
  <si>
    <t>18,4</t>
  </si>
  <si>
    <t>Расходы</t>
  </si>
  <si>
    <t>00000000000000000262</t>
  </si>
  <si>
    <t>18,14</t>
  </si>
  <si>
    <t>Пособия по социальной помощи населению</t>
  </si>
  <si>
    <t>00000000000000000222</t>
  </si>
  <si>
    <t>Расходы бюджета - ВСЕГО</t>
  </si>
  <si>
    <t>18,2</t>
  </si>
  <si>
    <t>17  17 Городские и сельские поселения Исполнено</t>
  </si>
  <si>
    <t>7  7 Муниципальные районы План на год</t>
  </si>
  <si>
    <t>00000000000000000224</t>
  </si>
  <si>
    <t>18,12</t>
  </si>
  <si>
    <t>00000000000000000220</t>
  </si>
  <si>
    <t>№ листа / № строки</t>
  </si>
  <si>
    <t>00000000000000000260</t>
  </si>
  <si>
    <t>Оплата труда</t>
  </si>
  <si>
    <t>18,33</t>
  </si>
  <si>
    <t>18,6</t>
  </si>
  <si>
    <t>Результат исполнения бюджета (дефицит "--", профицит "+")</t>
  </si>
  <si>
    <t>18,8</t>
  </si>
  <si>
    <t>Социальное обеспечение</t>
  </si>
  <si>
    <t>Прочие выплаты</t>
  </si>
  <si>
    <t>00079000000000000000</t>
  </si>
  <si>
    <t>00000000000000000213</t>
  </si>
  <si>
    <t>4  4 Суммы, подлежащие исключению Консолид. План на год</t>
  </si>
  <si>
    <t>00098000000000000000</t>
  </si>
  <si>
    <t>8  8 Городские и сельские поселения План на год</t>
  </si>
  <si>
    <t>18,21</t>
  </si>
  <si>
    <t>Приобретение услуг</t>
  </si>
  <si>
    <t>18,27</t>
  </si>
  <si>
    <t>00000000000000000251</t>
  </si>
  <si>
    <t>00000000000000000211</t>
  </si>
  <si>
    <t>18,29</t>
  </si>
  <si>
    <t>18,42</t>
  </si>
  <si>
    <t>Оплата труда и начисления на оплату труда</t>
  </si>
  <si>
    <t>Транспортные услуги</t>
  </si>
  <si>
    <t>00000000000000000230</t>
  </si>
  <si>
    <t>Безвозмездные и безвозвратные перечисления организациям</t>
  </si>
  <si>
    <t>Безвозмездные и безвозвратные перечисления  организациям, за исключением государственных и муниципальных организаций</t>
  </si>
  <si>
    <t>3  3 Консолидированный  План на год</t>
  </si>
  <si>
    <t>Ед. измерения: документа -  руб.</t>
  </si>
  <si>
    <t>00000000000000000340</t>
  </si>
  <si>
    <t>18,30</t>
  </si>
  <si>
    <t>18,5</t>
  </si>
  <si>
    <t>00000000000000000300</t>
  </si>
  <si>
    <t>Арендная плата за пользование имуществом</t>
  </si>
  <si>
    <t>00000000000000000223</t>
  </si>
  <si>
    <t>Безвозмездные и безвозвратные перечисления бюджетам</t>
  </si>
  <si>
    <t>Обслуживание долговых обязательств</t>
  </si>
  <si>
    <t>00000000000000000263</t>
  </si>
  <si>
    <t>18,15</t>
  </si>
  <si>
    <t>18,11</t>
  </si>
  <si>
    <t>Наименование показателя</t>
  </si>
  <si>
    <t>00000000000000000242</t>
  </si>
  <si>
    <t>Услуги связи</t>
  </si>
  <si>
    <t>18,1</t>
  </si>
  <si>
    <t>18,17</t>
  </si>
  <si>
    <t>18,19</t>
  </si>
  <si>
    <t>00000000000000000221</t>
  </si>
  <si>
    <t>18,9</t>
  </si>
  <si>
    <t>МЕСЯЧНЫЙ ОТЧЕТ ОБ ИСПОЛНЕНИИ БЮДЖЕТА</t>
  </si>
  <si>
    <t>18,7</t>
  </si>
  <si>
    <t>00000000000000000200</t>
  </si>
  <si>
    <t>00000000000000000240</t>
  </si>
  <si>
    <t>Увеличение стоимости материальных запасов</t>
  </si>
  <si>
    <t>18,3</t>
  </si>
  <si>
    <t>13  13 Суммы, подлежащие исключению Консолид. Исполнено</t>
  </si>
  <si>
    <t>18,13</t>
  </si>
  <si>
    <t xml:space="preserve"> </t>
  </si>
  <si>
    <t>00000000000000000225</t>
  </si>
  <si>
    <t>Поступление нефинансовых активов</t>
  </si>
  <si>
    <t>18,20</t>
  </si>
  <si>
    <t>00000000000000000310</t>
  </si>
  <si>
    <t>Прочие услуги</t>
  </si>
  <si>
    <t>18,41</t>
  </si>
  <si>
    <t>Коммунальные услуги</t>
  </si>
  <si>
    <t>Начисления на оплату труда</t>
  </si>
  <si>
    <t>18,24</t>
  </si>
  <si>
    <t>Ед. измерения: отчета -  руб.</t>
  </si>
  <si>
    <t>00000000000000000212</t>
  </si>
  <si>
    <t>Услуги по содержанию имущества</t>
  </si>
  <si>
    <t>Код показателя</t>
  </si>
  <si>
    <t>00096000000000000000</t>
  </si>
  <si>
    <t>00000000000000000231</t>
  </si>
  <si>
    <t>Увеличение стоимости основных средств</t>
  </si>
  <si>
    <t>Прочие расходы</t>
  </si>
  <si>
    <t>18,28</t>
  </si>
  <si>
    <t>00000000000000000210</t>
  </si>
  <si>
    <t>Расходы бюджета - ИТОГО</t>
  </si>
  <si>
    <t>18,26</t>
  </si>
  <si>
    <t>00000000000000000250</t>
  </si>
  <si>
    <t>00000000000000000290</t>
  </si>
  <si>
    <t>Перечисления другим бюджетам бюджетной системы Российской Федерации</t>
  </si>
  <si>
    <t>Расходы бюджета (краткие) на 01.03.2013</t>
  </si>
  <si>
    <t>Начальник отдела финансов</t>
  </si>
  <si>
    <t>Е.Н.Гусева</t>
  </si>
  <si>
    <t>Главный бухгалтер</t>
  </si>
  <si>
    <t>Н.И.Сарычева</t>
  </si>
  <si>
    <t>ВСЕГО по Новохоперскому муниципальному району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</si>
</sst>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5" fillId="0" borderId="0" xfId="0" applyAlignment="1">
      <alignment horizontal="left" vertical="top" wrapText="1"/>
    </xf>
    <xf numFmtId="0" fontId="3" fillId="0" borderId="0" xfId="0" applyBorder="1" applyAlignment="1">
      <alignment horizontal="center" vertical="top" wrapText="1"/>
    </xf>
    <xf numFmtId="0" fontId="4" fillId="0" borderId="0" xfId="0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Alignment="1">
      <alignment horizontal="right" vertical="top" wrapText="1"/>
    </xf>
    <xf numFmtId="0" fontId="2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21.140625" style="0" customWidth="1"/>
    <col min="4" max="12" width="10.7109375" style="0" customWidth="1"/>
  </cols>
  <sheetData>
    <row r="1" spans="1:11" ht="26.25" customHeight="1">
      <c r="A1" s="10"/>
      <c r="B1" s="9"/>
      <c r="C1" s="9"/>
      <c r="D1" s="9"/>
      <c r="E1" s="17" t="s">
        <v>66</v>
      </c>
      <c r="F1" s="9"/>
      <c r="G1" s="9"/>
      <c r="H1" s="9"/>
      <c r="I1" s="16" t="s">
        <v>84</v>
      </c>
      <c r="J1" s="9"/>
      <c r="K1" s="9"/>
    </row>
    <row r="2" spans="1:11" ht="21" customHeight="1">
      <c r="A2" s="10"/>
      <c r="B2" s="9"/>
      <c r="C2" s="9"/>
      <c r="D2" s="9"/>
      <c r="E2" s="18" t="s">
        <v>99</v>
      </c>
      <c r="F2" s="9"/>
      <c r="G2" s="9"/>
      <c r="H2" s="9"/>
      <c r="I2" s="16" t="s">
        <v>46</v>
      </c>
      <c r="J2" s="9"/>
      <c r="K2" s="9"/>
    </row>
    <row r="3" spans="1:11" ht="30.75" customHeight="1">
      <c r="A3" s="10" t="s">
        <v>74</v>
      </c>
      <c r="B3" s="9"/>
      <c r="C3" s="9"/>
      <c r="D3" s="9"/>
      <c r="E3" s="18" t="s">
        <v>104</v>
      </c>
      <c r="F3" s="9"/>
      <c r="G3" s="9"/>
      <c r="H3" s="9"/>
      <c r="I3" s="10" t="s">
        <v>74</v>
      </c>
      <c r="J3" s="9"/>
      <c r="K3" s="9"/>
    </row>
    <row r="4" spans="1:12" ht="54">
      <c r="A4" s="2" t="s">
        <v>19</v>
      </c>
      <c r="B4" s="2" t="s">
        <v>87</v>
      </c>
      <c r="C4" s="2" t="s">
        <v>58</v>
      </c>
      <c r="D4" s="2" t="s">
        <v>45</v>
      </c>
      <c r="E4" s="2" t="s">
        <v>30</v>
      </c>
      <c r="F4" s="2" t="s">
        <v>15</v>
      </c>
      <c r="G4" s="2" t="s">
        <v>32</v>
      </c>
      <c r="H4" s="2" t="s">
        <v>5</v>
      </c>
      <c r="I4" s="2" t="s">
        <v>72</v>
      </c>
      <c r="J4" s="2" t="s">
        <v>1</v>
      </c>
      <c r="K4" s="2" t="s">
        <v>14</v>
      </c>
      <c r="L4" s="7"/>
    </row>
    <row r="5" spans="1:12" ht="12.75">
      <c r="A5" s="3" t="s">
        <v>61</v>
      </c>
      <c r="B5" s="4" t="s">
        <v>88</v>
      </c>
      <c r="C5" s="4" t="s">
        <v>94</v>
      </c>
      <c r="D5" s="5">
        <f>ROUND(576423494.94,2)</f>
        <v>576423494.94</v>
      </c>
      <c r="E5" s="5">
        <f>ROUND(48219327.3,2)</f>
        <v>48219327.3</v>
      </c>
      <c r="F5" s="5">
        <f>ROUND(457291143.09,2)</f>
        <v>457291143.09</v>
      </c>
      <c r="G5" s="5">
        <f>ROUND(167351679.15,2)</f>
        <v>167351679.15</v>
      </c>
      <c r="H5" s="5">
        <f>ROUND(93686230.88,2)</f>
        <v>93686230.88</v>
      </c>
      <c r="I5" s="5">
        <f>ROUND(8763993.49,2)</f>
        <v>8763993.49</v>
      </c>
      <c r="J5" s="5">
        <f>ROUND(57151980.63,2)</f>
        <v>57151980.63</v>
      </c>
      <c r="K5" s="5">
        <f>ROUND(45298243.74,2)</f>
        <v>45298243.74</v>
      </c>
      <c r="L5" s="5"/>
    </row>
    <row r="6" spans="1:12" ht="12.75">
      <c r="A6" s="3" t="s">
        <v>13</v>
      </c>
      <c r="B6" s="4" t="s">
        <v>68</v>
      </c>
      <c r="C6" s="4" t="s">
        <v>7</v>
      </c>
      <c r="D6" s="5">
        <f>ROUND(475850507.36,2)</f>
        <v>475850507.36</v>
      </c>
      <c r="E6" s="5">
        <f>ROUND(48219327.3,2)</f>
        <v>48219327.3</v>
      </c>
      <c r="F6" s="5">
        <f>ROUND(397628756.18,2)</f>
        <v>397628756.18</v>
      </c>
      <c r="G6" s="5">
        <f>ROUND(126441078.48,2)</f>
        <v>126441078.48</v>
      </c>
      <c r="H6" s="5">
        <f>ROUND(56824751.54,2)</f>
        <v>56824751.54</v>
      </c>
      <c r="I6" s="5">
        <f>ROUND(8763993.49,2)</f>
        <v>8763993.49</v>
      </c>
      <c r="J6" s="5">
        <f>ROUND(49058367.31,2)</f>
        <v>49058367.31</v>
      </c>
      <c r="K6" s="5">
        <f>ROUND(16530377.72,2)</f>
        <v>16530377.72</v>
      </c>
      <c r="L6" s="5"/>
    </row>
    <row r="7" spans="1:12" ht="18.75">
      <c r="A7" s="3" t="s">
        <v>71</v>
      </c>
      <c r="B7" s="4" t="s">
        <v>93</v>
      </c>
      <c r="C7" s="4" t="s">
        <v>40</v>
      </c>
      <c r="D7" s="5">
        <f>ROUND(345827667.58,2)</f>
        <v>345827667.58</v>
      </c>
      <c r="E7" s="5">
        <f aca="true" t="shared" si="0" ref="E7:E17">ROUND(0,2)</f>
        <v>0</v>
      </c>
      <c r="F7" s="5">
        <f>ROUND(282281383.58,2)</f>
        <v>282281383.58</v>
      </c>
      <c r="G7" s="5">
        <f>ROUND(63546284,2)</f>
        <v>63546284</v>
      </c>
      <c r="H7" s="5">
        <f>ROUND(35673628.59,2)</f>
        <v>35673628.59</v>
      </c>
      <c r="I7" s="5">
        <f aca="true" t="shared" si="1" ref="I7:I17">ROUND(0,2)</f>
        <v>0</v>
      </c>
      <c r="J7" s="5">
        <f>ROUND(28972986.78,2)</f>
        <v>28972986.78</v>
      </c>
      <c r="K7" s="5">
        <f>ROUND(6700641.81,2)</f>
        <v>6700641.81</v>
      </c>
      <c r="L7" s="5"/>
    </row>
    <row r="8" spans="1:12" ht="12.75">
      <c r="A8" s="3" t="s">
        <v>6</v>
      </c>
      <c r="B8" s="4" t="s">
        <v>37</v>
      </c>
      <c r="C8" s="4" t="s">
        <v>21</v>
      </c>
      <c r="D8" s="5">
        <f>ROUND(265517547.58,2)</f>
        <v>265517547.58</v>
      </c>
      <c r="E8" s="5">
        <f t="shared" si="0"/>
        <v>0</v>
      </c>
      <c r="F8" s="5">
        <f>ROUND(216241073.58,2)</f>
        <v>216241073.58</v>
      </c>
      <c r="G8" s="5">
        <f>ROUND(49276474,2)</f>
        <v>49276474</v>
      </c>
      <c r="H8" s="5">
        <f>ROUND(26118464.96,2)</f>
        <v>26118464.96</v>
      </c>
      <c r="I8" s="5">
        <f t="shared" si="1"/>
        <v>0</v>
      </c>
      <c r="J8" s="5">
        <f>ROUND(21046649.88,2)</f>
        <v>21046649.88</v>
      </c>
      <c r="K8" s="5">
        <f>ROUND(5071815.08,2)</f>
        <v>5071815.08</v>
      </c>
      <c r="L8" s="5"/>
    </row>
    <row r="9" spans="1:12" ht="12.75">
      <c r="A9" s="3" t="s">
        <v>49</v>
      </c>
      <c r="B9" s="4" t="s">
        <v>85</v>
      </c>
      <c r="C9" s="4" t="s">
        <v>27</v>
      </c>
      <c r="D9" s="5">
        <f>ROUND(816000,2)</f>
        <v>816000</v>
      </c>
      <c r="E9" s="5">
        <f t="shared" si="0"/>
        <v>0</v>
      </c>
      <c r="F9" s="5">
        <f>ROUND(772200,2)</f>
        <v>772200</v>
      </c>
      <c r="G9" s="5">
        <f>ROUND(43800,2)</f>
        <v>43800</v>
      </c>
      <c r="H9" s="5">
        <f>ROUND(38300,2)</f>
        <v>38300</v>
      </c>
      <c r="I9" s="5">
        <f t="shared" si="1"/>
        <v>0</v>
      </c>
      <c r="J9" s="5">
        <f>ROUND(34400,2)</f>
        <v>34400</v>
      </c>
      <c r="K9" s="5">
        <f>ROUND(3900,2)</f>
        <v>3900</v>
      </c>
      <c r="L9" s="5"/>
    </row>
    <row r="10" spans="1:12" ht="12.75">
      <c r="A10" s="3" t="s">
        <v>23</v>
      </c>
      <c r="B10" s="4" t="s">
        <v>29</v>
      </c>
      <c r="C10" s="4" t="s">
        <v>82</v>
      </c>
      <c r="D10" s="5">
        <f>ROUND(79494120,2)</f>
        <v>79494120</v>
      </c>
      <c r="E10" s="5">
        <f t="shared" si="0"/>
        <v>0</v>
      </c>
      <c r="F10" s="5">
        <f>ROUND(65268110,2)</f>
        <v>65268110</v>
      </c>
      <c r="G10" s="5">
        <f>ROUND(14226010,2)</f>
        <v>14226010</v>
      </c>
      <c r="H10" s="5">
        <f>ROUND(9516863.63,2)</f>
        <v>9516863.63</v>
      </c>
      <c r="I10" s="5">
        <f t="shared" si="1"/>
        <v>0</v>
      </c>
      <c r="J10" s="5">
        <f>ROUND(7891936.9,2)</f>
        <v>7891936.9</v>
      </c>
      <c r="K10" s="5">
        <f>ROUND(1624926.73,2)</f>
        <v>1624926.73</v>
      </c>
      <c r="L10" s="5"/>
    </row>
    <row r="11" spans="1:12" ht="12.75">
      <c r="A11" s="3" t="s">
        <v>67</v>
      </c>
      <c r="B11" s="4" t="s">
        <v>18</v>
      </c>
      <c r="C11" s="4" t="s">
        <v>34</v>
      </c>
      <c r="D11" s="5">
        <f>ROUND(103245741.15,2)</f>
        <v>103245741.15</v>
      </c>
      <c r="E11" s="5">
        <f t="shared" si="0"/>
        <v>0</v>
      </c>
      <c r="F11" s="5">
        <f>ROUND(44398646.18,2)</f>
        <v>44398646.18</v>
      </c>
      <c r="G11" s="5">
        <f>ROUND(58847094.97,2)</f>
        <v>58847094.97</v>
      </c>
      <c r="H11" s="5">
        <f>ROUND(18054713.21,2)</f>
        <v>18054713.21</v>
      </c>
      <c r="I11" s="5">
        <f t="shared" si="1"/>
        <v>0</v>
      </c>
      <c r="J11" s="5">
        <f>ROUND(8418516,2)</f>
        <v>8418516</v>
      </c>
      <c r="K11" s="5">
        <f>ROUND(9636197.21,2)</f>
        <v>9636197.21</v>
      </c>
      <c r="L11" s="5"/>
    </row>
    <row r="12" spans="1:12" ht="12.75">
      <c r="A12" s="3" t="s">
        <v>25</v>
      </c>
      <c r="B12" s="4" t="s">
        <v>64</v>
      </c>
      <c r="C12" s="4" t="s">
        <v>60</v>
      </c>
      <c r="D12" s="5">
        <f>ROUND(5246711.34,2)</f>
        <v>5246711.34</v>
      </c>
      <c r="E12" s="5">
        <f t="shared" si="0"/>
        <v>0</v>
      </c>
      <c r="F12" s="5">
        <f>ROUND(3808211.34,2)</f>
        <v>3808211.34</v>
      </c>
      <c r="G12" s="5">
        <f>ROUND(1438500,2)</f>
        <v>1438500</v>
      </c>
      <c r="H12" s="5">
        <f>ROUND(605174.9,2)</f>
        <v>605174.9</v>
      </c>
      <c r="I12" s="5">
        <f t="shared" si="1"/>
        <v>0</v>
      </c>
      <c r="J12" s="5">
        <f>ROUND(302422.29,2)</f>
        <v>302422.29</v>
      </c>
      <c r="K12" s="5">
        <f>ROUND(302752.61,2)</f>
        <v>302752.61</v>
      </c>
      <c r="L12" s="5"/>
    </row>
    <row r="13" spans="1:12" ht="12.75">
      <c r="A13" s="3" t="s">
        <v>65</v>
      </c>
      <c r="B13" s="4" t="s">
        <v>11</v>
      </c>
      <c r="C13" s="4" t="s">
        <v>41</v>
      </c>
      <c r="D13" s="5">
        <f>ROUND(706100,2)</f>
        <v>706100</v>
      </c>
      <c r="E13" s="5">
        <f t="shared" si="0"/>
        <v>0</v>
      </c>
      <c r="F13" s="5">
        <f>ROUND(162600,2)</f>
        <v>162600</v>
      </c>
      <c r="G13" s="5">
        <f>ROUND(543500,2)</f>
        <v>543500</v>
      </c>
      <c r="H13" s="5">
        <f>ROUND(74487.4,2)</f>
        <v>74487.4</v>
      </c>
      <c r="I13" s="5">
        <f t="shared" si="1"/>
        <v>0</v>
      </c>
      <c r="J13" s="5">
        <f>ROUND(23671.95,2)</f>
        <v>23671.95</v>
      </c>
      <c r="K13" s="5">
        <f>ROUND(50815.45,2)</f>
        <v>50815.45</v>
      </c>
      <c r="L13" s="5"/>
    </row>
    <row r="14" spans="1:12" ht="12.75">
      <c r="A14" s="3" t="s">
        <v>0</v>
      </c>
      <c r="B14" s="4" t="s">
        <v>52</v>
      </c>
      <c r="C14" s="4" t="s">
        <v>81</v>
      </c>
      <c r="D14" s="5">
        <f>ROUND(30482406,2)</f>
        <v>30482406</v>
      </c>
      <c r="E14" s="5">
        <f t="shared" si="0"/>
        <v>0</v>
      </c>
      <c r="F14" s="5">
        <f>ROUND(17099300,2)</f>
        <v>17099300</v>
      </c>
      <c r="G14" s="5">
        <f>ROUND(13383106,2)</f>
        <v>13383106</v>
      </c>
      <c r="H14" s="5">
        <f>ROUND(8075326.06,2)</f>
        <v>8075326.06</v>
      </c>
      <c r="I14" s="5">
        <f t="shared" si="1"/>
        <v>0</v>
      </c>
      <c r="J14" s="5">
        <f>ROUND(4865159.53,2)</f>
        <v>4865159.53</v>
      </c>
      <c r="K14" s="5">
        <f>ROUND(3210166.53,2)</f>
        <v>3210166.53</v>
      </c>
      <c r="L14" s="5"/>
    </row>
    <row r="15" spans="1:12" ht="18.75">
      <c r="A15" s="3" t="s">
        <v>57</v>
      </c>
      <c r="B15" s="4" t="s">
        <v>16</v>
      </c>
      <c r="C15" s="4" t="s">
        <v>51</v>
      </c>
      <c r="D15" s="5">
        <f>ROUND(20000,2)</f>
        <v>20000</v>
      </c>
      <c r="E15" s="5">
        <f t="shared" si="0"/>
        <v>0</v>
      </c>
      <c r="F15" s="5">
        <f>ROUND(0,2)</f>
        <v>0</v>
      </c>
      <c r="G15" s="5">
        <f>ROUND(20000,2)</f>
        <v>20000</v>
      </c>
      <c r="H15" s="5">
        <f>ROUND(0,2)</f>
        <v>0</v>
      </c>
      <c r="I15" s="5">
        <f t="shared" si="1"/>
        <v>0</v>
      </c>
      <c r="J15" s="5">
        <f>ROUND(0,2)</f>
        <v>0</v>
      </c>
      <c r="K15" s="5">
        <f>ROUND(0,2)</f>
        <v>0</v>
      </c>
      <c r="L15" s="5"/>
    </row>
    <row r="16" spans="1:12" ht="18.75">
      <c r="A16" s="3" t="s">
        <v>17</v>
      </c>
      <c r="B16" s="4" t="s">
        <v>75</v>
      </c>
      <c r="C16" s="4" t="s">
        <v>86</v>
      </c>
      <c r="D16" s="5">
        <f>ROUND(44938755.87,2)</f>
        <v>44938755.87</v>
      </c>
      <c r="E16" s="5">
        <f t="shared" si="0"/>
        <v>0</v>
      </c>
      <c r="F16" s="5">
        <f>ROUND(10698234.37,2)</f>
        <v>10698234.37</v>
      </c>
      <c r="G16" s="5">
        <f>ROUND(34240521.5,2)</f>
        <v>34240521.5</v>
      </c>
      <c r="H16" s="5">
        <f>ROUND(5708540.36,2)</f>
        <v>5708540.36</v>
      </c>
      <c r="I16" s="5">
        <f t="shared" si="1"/>
        <v>0</v>
      </c>
      <c r="J16" s="5">
        <f>ROUND(1898128.8,2)</f>
        <v>1898128.8</v>
      </c>
      <c r="K16" s="5">
        <f>ROUND(3810411.56,2)</f>
        <v>3810411.56</v>
      </c>
      <c r="L16" s="5"/>
    </row>
    <row r="17" spans="1:12" ht="12.75">
      <c r="A17" s="3" t="s">
        <v>73</v>
      </c>
      <c r="B17" s="4" t="s">
        <v>2</v>
      </c>
      <c r="C17" s="4" t="s">
        <v>79</v>
      </c>
      <c r="D17" s="5">
        <f>ROUND(21851767.94,2)</f>
        <v>21851767.94</v>
      </c>
      <c r="E17" s="5">
        <f t="shared" si="0"/>
        <v>0</v>
      </c>
      <c r="F17" s="5">
        <f>ROUND(12630300.47,2)</f>
        <v>12630300.47</v>
      </c>
      <c r="G17" s="5">
        <f>ROUND(9221467.47,2)</f>
        <v>9221467.47</v>
      </c>
      <c r="H17" s="5">
        <f>ROUND(3591184.49,2)</f>
        <v>3591184.49</v>
      </c>
      <c r="I17" s="5">
        <f t="shared" si="1"/>
        <v>0</v>
      </c>
      <c r="J17" s="5">
        <f>ROUND(1329133.43,2)</f>
        <v>1329133.43</v>
      </c>
      <c r="K17" s="5">
        <f>ROUND(2262051.06,2)</f>
        <v>2262051.06</v>
      </c>
      <c r="L17" s="5"/>
    </row>
    <row r="18" spans="1:12" ht="18.75">
      <c r="A18" s="3" t="s">
        <v>9</v>
      </c>
      <c r="B18" s="4" t="s">
        <v>42</v>
      </c>
      <c r="C18" s="4" t="s">
        <v>54</v>
      </c>
      <c r="D18" s="5">
        <f>ROUND(510000,2)</f>
        <v>510000</v>
      </c>
      <c r="E18" s="5">
        <f>ROUND(3066.51,2)</f>
        <v>3066.51</v>
      </c>
      <c r="F18" s="5">
        <f>ROUND(500000,2)</f>
        <v>500000</v>
      </c>
      <c r="G18" s="5">
        <f>ROUND(13066.51,2)</f>
        <v>13066.51</v>
      </c>
      <c r="H18" s="5">
        <f>ROUND(0,2)</f>
        <v>0</v>
      </c>
      <c r="I18" s="5">
        <f>ROUND(3066.51,2)</f>
        <v>3066.51</v>
      </c>
      <c r="J18" s="5">
        <f>ROUND(0,2)</f>
        <v>0</v>
      </c>
      <c r="K18" s="5">
        <f>ROUND(3066.51,2)</f>
        <v>3066.51</v>
      </c>
      <c r="L18" s="5"/>
    </row>
    <row r="19" spans="1:12" ht="18.75">
      <c r="A19" s="3" t="s">
        <v>56</v>
      </c>
      <c r="B19" s="4" t="s">
        <v>89</v>
      </c>
      <c r="C19" s="4" t="s">
        <v>3</v>
      </c>
      <c r="D19" s="5">
        <f>ROUND(510000,2)</f>
        <v>510000</v>
      </c>
      <c r="E19" s="5">
        <f>ROUND(3066.51,2)</f>
        <v>3066.51</v>
      </c>
      <c r="F19" s="5">
        <f>ROUND(500000,2)</f>
        <v>500000</v>
      </c>
      <c r="G19" s="5">
        <f>ROUND(13066.51,2)</f>
        <v>13066.51</v>
      </c>
      <c r="H19" s="5">
        <f>ROUND(0,2)</f>
        <v>0</v>
      </c>
      <c r="I19" s="5">
        <f>ROUND(3066.51,2)</f>
        <v>3066.51</v>
      </c>
      <c r="J19" s="5">
        <f>ROUND(0,2)</f>
        <v>0</v>
      </c>
      <c r="K19" s="5">
        <f>ROUND(3066.51,2)</f>
        <v>3066.51</v>
      </c>
      <c r="L19" s="5"/>
    </row>
    <row r="20" spans="1:12" ht="27.75">
      <c r="A20" s="3" t="s">
        <v>62</v>
      </c>
      <c r="B20" s="4" t="s">
        <v>69</v>
      </c>
      <c r="C20" s="4" t="s">
        <v>43</v>
      </c>
      <c r="D20" s="5">
        <f>ROUND(1100000,2)</f>
        <v>1100000</v>
      </c>
      <c r="E20" s="5">
        <f>ROUND(0,2)</f>
        <v>0</v>
      </c>
      <c r="F20" s="5">
        <f>ROUND(1000000,2)</f>
        <v>1000000</v>
      </c>
      <c r="G20" s="5">
        <f>ROUND(100000,2)</f>
        <v>100000</v>
      </c>
      <c r="H20" s="5">
        <f>ROUND(346900,2)</f>
        <v>346900</v>
      </c>
      <c r="I20" s="5">
        <f>ROUND(0,2)</f>
        <v>0</v>
      </c>
      <c r="J20" s="5">
        <f>ROUND(346900,2)</f>
        <v>346900</v>
      </c>
      <c r="K20" s="5">
        <f>ROUND(0,2)</f>
        <v>0</v>
      </c>
      <c r="L20" s="5"/>
    </row>
    <row r="21" spans="1:12" ht="45.75">
      <c r="A21" s="3" t="s">
        <v>63</v>
      </c>
      <c r="B21" s="4" t="s">
        <v>59</v>
      </c>
      <c r="C21" s="4" t="s">
        <v>44</v>
      </c>
      <c r="D21" s="5">
        <f>ROUND(1100000,2)</f>
        <v>1100000</v>
      </c>
      <c r="E21" s="5">
        <f>ROUND(0,2)</f>
        <v>0</v>
      </c>
      <c r="F21" s="5">
        <f>ROUND(1000000,2)</f>
        <v>1000000</v>
      </c>
      <c r="G21" s="5">
        <f>ROUND(100000,2)</f>
        <v>100000</v>
      </c>
      <c r="H21" s="5">
        <f>ROUND(346900,2)</f>
        <v>346900</v>
      </c>
      <c r="I21" s="5">
        <f>ROUND(0,2)</f>
        <v>0</v>
      </c>
      <c r="J21" s="5">
        <f>ROUND(346900,2)</f>
        <v>346900</v>
      </c>
      <c r="K21" s="5">
        <f>ROUND(0,2)</f>
        <v>0</v>
      </c>
      <c r="L21" s="5"/>
    </row>
    <row r="22" spans="1:12" ht="27.75">
      <c r="A22" s="3" t="s">
        <v>77</v>
      </c>
      <c r="B22" s="4" t="s">
        <v>96</v>
      </c>
      <c r="C22" s="4" t="s">
        <v>53</v>
      </c>
      <c r="D22" s="5">
        <f>ROUND(0,2)</f>
        <v>0</v>
      </c>
      <c r="E22" s="5">
        <f>ROUND(48216260.79,2)</f>
        <v>48216260.79</v>
      </c>
      <c r="F22" s="5">
        <f>ROUND(48216260.79,2)</f>
        <v>48216260.79</v>
      </c>
      <c r="G22" s="5">
        <f>ROUND(0,2)</f>
        <v>0</v>
      </c>
      <c r="H22" s="5">
        <f>ROUND(0,2)</f>
        <v>0</v>
      </c>
      <c r="I22" s="5">
        <f>ROUND(8760926.98,2)</f>
        <v>8760926.98</v>
      </c>
      <c r="J22" s="5">
        <f>ROUND(8760926.98,2)</f>
        <v>8760926.98</v>
      </c>
      <c r="K22" s="5">
        <f>ROUND(0,2)</f>
        <v>0</v>
      </c>
      <c r="L22" s="5"/>
    </row>
    <row r="23" spans="1:12" ht="27.75">
      <c r="A23" s="3" t="s">
        <v>33</v>
      </c>
      <c r="B23" s="4" t="s">
        <v>36</v>
      </c>
      <c r="C23" s="4" t="s">
        <v>98</v>
      </c>
      <c r="D23" s="5">
        <f>ROUND(0,2)</f>
        <v>0</v>
      </c>
      <c r="E23" s="5">
        <f>ROUND(48216260.79,2)</f>
        <v>48216260.79</v>
      </c>
      <c r="F23" s="5">
        <f>ROUND(48216260.79,2)</f>
        <v>48216260.79</v>
      </c>
      <c r="G23" s="5">
        <f>ROUND(0,2)</f>
        <v>0</v>
      </c>
      <c r="H23" s="5">
        <f>ROUND(0,2)</f>
        <v>0</v>
      </c>
      <c r="I23" s="5">
        <f>ROUND(8760926.98,2)</f>
        <v>8760926.98</v>
      </c>
      <c r="J23" s="5">
        <f>ROUND(8760926.98,2)</f>
        <v>8760926.98</v>
      </c>
      <c r="K23" s="5">
        <f>ROUND(0,2)</f>
        <v>0</v>
      </c>
      <c r="L23" s="5"/>
    </row>
    <row r="24" spans="1:12" ht="12.75">
      <c r="A24" s="3" t="s">
        <v>83</v>
      </c>
      <c r="B24" s="4" t="s">
        <v>20</v>
      </c>
      <c r="C24" s="4" t="s">
        <v>26</v>
      </c>
      <c r="D24" s="5">
        <f>ROUND(19166165.63,2)</f>
        <v>19166165.63</v>
      </c>
      <c r="E24" s="5">
        <f aca="true" t="shared" si="2" ref="E24:E30">ROUND(0,2)</f>
        <v>0</v>
      </c>
      <c r="F24" s="5">
        <f>ROUND(18103365.63,2)</f>
        <v>18103365.63</v>
      </c>
      <c r="G24" s="5">
        <f>ROUND(1062800,2)</f>
        <v>1062800</v>
      </c>
      <c r="H24" s="5">
        <f>ROUND(2384323.6,2)</f>
        <v>2384323.6</v>
      </c>
      <c r="I24" s="5">
        <f aca="true" t="shared" si="3" ref="I24:I30">ROUND(0,2)</f>
        <v>0</v>
      </c>
      <c r="J24" s="5">
        <f>ROUND(2287670.44,2)</f>
        <v>2287670.44</v>
      </c>
      <c r="K24" s="5">
        <f>ROUND(96653.16,2)</f>
        <v>96653.16</v>
      </c>
      <c r="L24" s="5"/>
    </row>
    <row r="25" spans="1:12" ht="18.75">
      <c r="A25" s="3" t="s">
        <v>95</v>
      </c>
      <c r="B25" s="4" t="s">
        <v>8</v>
      </c>
      <c r="C25" s="4" t="s">
        <v>10</v>
      </c>
      <c r="D25" s="5">
        <f>ROUND(16133700,2)</f>
        <v>16133700</v>
      </c>
      <c r="E25" s="5">
        <f t="shared" si="2"/>
        <v>0</v>
      </c>
      <c r="F25" s="5">
        <f>ROUND(15983700,2)</f>
        <v>15983700</v>
      </c>
      <c r="G25" s="5">
        <f>ROUND(150000,2)</f>
        <v>150000</v>
      </c>
      <c r="H25" s="5">
        <f>ROUND(1522339,2)</f>
        <v>1522339</v>
      </c>
      <c r="I25" s="5">
        <f t="shared" si="3"/>
        <v>0</v>
      </c>
      <c r="J25" s="5">
        <f>ROUND(1522339,2)</f>
        <v>1522339</v>
      </c>
      <c r="K25" s="5">
        <f>ROUND(0,2)</f>
        <v>0</v>
      </c>
      <c r="L25" s="5"/>
    </row>
    <row r="26" spans="1:12" ht="36.75">
      <c r="A26" s="3" t="s">
        <v>35</v>
      </c>
      <c r="B26" s="4" t="s">
        <v>55</v>
      </c>
      <c r="C26" s="4" t="s">
        <v>4</v>
      </c>
      <c r="D26" s="5">
        <f>ROUND(3032465.63,2)</f>
        <v>3032465.63</v>
      </c>
      <c r="E26" s="5">
        <f t="shared" si="2"/>
        <v>0</v>
      </c>
      <c r="F26" s="5">
        <f>ROUND(2119665.63,2)</f>
        <v>2119665.63</v>
      </c>
      <c r="G26" s="5">
        <f>ROUND(912800,2)</f>
        <v>912800</v>
      </c>
      <c r="H26" s="5">
        <f>ROUND(861984.6,2)</f>
        <v>861984.6</v>
      </c>
      <c r="I26" s="5">
        <f t="shared" si="3"/>
        <v>0</v>
      </c>
      <c r="J26" s="5">
        <f>ROUND(765331.44,2)</f>
        <v>765331.44</v>
      </c>
      <c r="K26" s="5">
        <f>ROUND(96653.16,2)</f>
        <v>96653.16</v>
      </c>
      <c r="L26" s="5"/>
    </row>
    <row r="27" spans="1:12" ht="12.75">
      <c r="A27" s="3" t="s">
        <v>92</v>
      </c>
      <c r="B27" s="4" t="s">
        <v>97</v>
      </c>
      <c r="C27" s="4" t="s">
        <v>91</v>
      </c>
      <c r="D27" s="5">
        <f>ROUND(6000933,2)</f>
        <v>6000933</v>
      </c>
      <c r="E27" s="5">
        <f t="shared" si="2"/>
        <v>0</v>
      </c>
      <c r="F27" s="5">
        <f>ROUND(3129100,2)</f>
        <v>3129100</v>
      </c>
      <c r="G27" s="5">
        <f>ROUND(2871833,2)</f>
        <v>2871833</v>
      </c>
      <c r="H27" s="5">
        <f>ROUND(365186.14,2)</f>
        <v>365186.14</v>
      </c>
      <c r="I27" s="5">
        <f t="shared" si="3"/>
        <v>0</v>
      </c>
      <c r="J27" s="5">
        <f>ROUND(271367.11,2)</f>
        <v>271367.11</v>
      </c>
      <c r="K27" s="5">
        <f>ROUND(93819.03,2)</f>
        <v>93819.03</v>
      </c>
      <c r="L27" s="5"/>
    </row>
    <row r="28" spans="1:12" ht="18.75">
      <c r="A28" s="3" t="s">
        <v>38</v>
      </c>
      <c r="B28" s="4" t="s">
        <v>50</v>
      </c>
      <c r="C28" s="4" t="s">
        <v>76</v>
      </c>
      <c r="D28" s="5">
        <f>ROUND(100572987.58,2)</f>
        <v>100572987.58</v>
      </c>
      <c r="E28" s="5">
        <f t="shared" si="2"/>
        <v>0</v>
      </c>
      <c r="F28" s="5">
        <f>ROUND(59662386.91,2)</f>
        <v>59662386.91</v>
      </c>
      <c r="G28" s="5">
        <f>ROUND(40910600.67,2)</f>
        <v>40910600.67</v>
      </c>
      <c r="H28" s="5">
        <f>ROUND(36861479.34,2)</f>
        <v>36861479.34</v>
      </c>
      <c r="I28" s="5">
        <f t="shared" si="3"/>
        <v>0</v>
      </c>
      <c r="J28" s="5">
        <f>ROUND(8093613.32,2)</f>
        <v>8093613.32</v>
      </c>
      <c r="K28" s="5">
        <f>ROUND(28767866.02,2)</f>
        <v>28767866.02</v>
      </c>
      <c r="L28" s="5"/>
    </row>
    <row r="29" spans="1:12" ht="18.75">
      <c r="A29" s="3" t="s">
        <v>48</v>
      </c>
      <c r="B29" s="4" t="s">
        <v>78</v>
      </c>
      <c r="C29" s="4" t="s">
        <v>90</v>
      </c>
      <c r="D29" s="5">
        <f>ROUND(66197546.55,2)</f>
        <v>66197546.55</v>
      </c>
      <c r="E29" s="5">
        <f t="shared" si="2"/>
        <v>0</v>
      </c>
      <c r="F29" s="5">
        <f>ROUND(36658576.88,2)</f>
        <v>36658576.88</v>
      </c>
      <c r="G29" s="5">
        <f>ROUND(29538969.67,2)</f>
        <v>29538969.67</v>
      </c>
      <c r="H29" s="5">
        <f>ROUND(31639861.81,2)</f>
        <v>31639861.81</v>
      </c>
      <c r="I29" s="5">
        <f t="shared" si="3"/>
        <v>0</v>
      </c>
      <c r="J29" s="5">
        <f>ROUND(4418584.38,2)</f>
        <v>4418584.38</v>
      </c>
      <c r="K29" s="5">
        <f>ROUND(27221277.43,2)</f>
        <v>27221277.43</v>
      </c>
      <c r="L29" s="5"/>
    </row>
    <row r="30" spans="1:12" ht="18.75">
      <c r="A30" s="3" t="s">
        <v>22</v>
      </c>
      <c r="B30" s="4" t="s">
        <v>47</v>
      </c>
      <c r="C30" s="4" t="s">
        <v>70</v>
      </c>
      <c r="D30" s="5">
        <f>ROUND(34375441.03,2)</f>
        <v>34375441.03</v>
      </c>
      <c r="E30" s="5">
        <f t="shared" si="2"/>
        <v>0</v>
      </c>
      <c r="F30" s="5">
        <f>ROUND(23003810.03,2)</f>
        <v>23003810.03</v>
      </c>
      <c r="G30" s="5">
        <f>ROUND(11371631,2)</f>
        <v>11371631</v>
      </c>
      <c r="H30" s="5">
        <f>ROUND(5221617.53,2)</f>
        <v>5221617.53</v>
      </c>
      <c r="I30" s="5">
        <f t="shared" si="3"/>
        <v>0</v>
      </c>
      <c r="J30" s="5">
        <f>ROUND(3675028.94,2)</f>
        <v>3675028.94</v>
      </c>
      <c r="K30" s="5">
        <f>ROUND(1546588.59,2)</f>
        <v>1546588.59</v>
      </c>
      <c r="L30" s="5"/>
    </row>
    <row r="31" spans="1:12" ht="12.75">
      <c r="A31" s="3" t="s">
        <v>80</v>
      </c>
      <c r="B31" s="4" t="s">
        <v>31</v>
      </c>
      <c r="C31" s="4" t="s">
        <v>12</v>
      </c>
      <c r="D31" s="5">
        <f>ROUND(576423494.94,2)</f>
        <v>576423494.94</v>
      </c>
      <c r="E31" s="5">
        <f>ROUND(48219327.3,2)</f>
        <v>48219327.3</v>
      </c>
      <c r="F31" s="5">
        <f>ROUND(457291143.09,2)</f>
        <v>457291143.09</v>
      </c>
      <c r="G31" s="5">
        <f>ROUND(167351679.15,2)</f>
        <v>167351679.15</v>
      </c>
      <c r="H31" s="5">
        <f>ROUND(93686230.88,2)</f>
        <v>93686230.88</v>
      </c>
      <c r="I31" s="5">
        <f>ROUND(8763993.49,2)</f>
        <v>8763993.49</v>
      </c>
      <c r="J31" s="5">
        <f>ROUND(57151980.63,2)</f>
        <v>57151980.63</v>
      </c>
      <c r="K31" s="5">
        <f>ROUND(45298243.74,2)</f>
        <v>45298243.74</v>
      </c>
      <c r="L31" s="5"/>
    </row>
    <row r="32" spans="1:12" ht="27.75">
      <c r="A32" s="3" t="s">
        <v>39</v>
      </c>
      <c r="B32" s="4" t="s">
        <v>28</v>
      </c>
      <c r="C32" s="4" t="s">
        <v>24</v>
      </c>
      <c r="D32" s="5">
        <f>ROUND(-58317061.45,2)</f>
        <v>-58317061.45</v>
      </c>
      <c r="E32" s="5">
        <f>ROUND(0,2)</f>
        <v>0</v>
      </c>
      <c r="F32" s="5">
        <f>ROUND(-30042543.09,2)</f>
        <v>-30042543.09</v>
      </c>
      <c r="G32" s="5">
        <f>ROUND(-28274518.36,2)</f>
        <v>-28274518.36</v>
      </c>
      <c r="H32" s="5">
        <f>ROUND(-13249395.5,2)</f>
        <v>-13249395.5</v>
      </c>
      <c r="I32" s="5">
        <f>ROUND(0,2)</f>
        <v>0</v>
      </c>
      <c r="J32" s="5">
        <f>ROUND(7534365.72,2)</f>
        <v>7534365.72</v>
      </c>
      <c r="K32" s="5">
        <f>ROUND(-20783761.22,2)</f>
        <v>-20783761.22</v>
      </c>
      <c r="L32" s="5"/>
    </row>
    <row r="33" spans="1:11" ht="12.75">
      <c r="A33" s="10" t="s">
        <v>74</v>
      </c>
      <c r="B33" s="9"/>
      <c r="C33" s="9"/>
      <c r="D33" s="9"/>
      <c r="E33" s="10" t="s">
        <v>74</v>
      </c>
      <c r="F33" s="9"/>
      <c r="G33" s="9"/>
      <c r="H33" s="9"/>
      <c r="I33" s="10" t="s">
        <v>74</v>
      </c>
      <c r="J33" s="9"/>
      <c r="K33" s="9"/>
    </row>
    <row r="34" spans="1:9" ht="12.75">
      <c r="A34" s="1"/>
      <c r="E34" s="1"/>
      <c r="I34" s="1"/>
    </row>
    <row r="35" spans="1:11" ht="15">
      <c r="A35" s="11" t="s">
        <v>100</v>
      </c>
      <c r="B35" s="9"/>
      <c r="C35" s="9"/>
      <c r="D35" s="9"/>
      <c r="E35" s="13" t="s">
        <v>101</v>
      </c>
      <c r="F35" s="14"/>
      <c r="G35" s="14"/>
      <c r="H35" s="15"/>
      <c r="I35" s="8"/>
      <c r="J35" s="9"/>
      <c r="K35" s="9"/>
    </row>
    <row r="36" spans="1:11" ht="12.75">
      <c r="A36" s="12"/>
      <c r="B36" s="9"/>
      <c r="C36" s="9"/>
      <c r="D36" s="9"/>
      <c r="E36" s="12"/>
      <c r="F36" s="9"/>
      <c r="G36" s="9"/>
      <c r="H36" s="9"/>
      <c r="I36" s="10"/>
      <c r="J36" s="9"/>
      <c r="K36" s="9"/>
    </row>
    <row r="37" spans="1:9" ht="12.75">
      <c r="A37" s="6"/>
      <c r="E37" s="6"/>
      <c r="I37" s="1"/>
    </row>
    <row r="38" spans="1:11" ht="15">
      <c r="A38" s="11" t="s">
        <v>102</v>
      </c>
      <c r="B38" s="9"/>
      <c r="C38" s="9"/>
      <c r="D38" s="9"/>
      <c r="E38" s="13" t="s">
        <v>103</v>
      </c>
      <c r="F38" s="14"/>
      <c r="G38" s="14"/>
      <c r="H38" s="15"/>
      <c r="I38" s="8"/>
      <c r="J38" s="9"/>
      <c r="K38" s="9"/>
    </row>
  </sheetData>
  <mergeCells count="21">
    <mergeCell ref="E3:H3"/>
    <mergeCell ref="I1:K1"/>
    <mergeCell ref="I2:K2"/>
    <mergeCell ref="I3:K3"/>
    <mergeCell ref="A33:D33"/>
    <mergeCell ref="I33:K33"/>
    <mergeCell ref="A1:D1"/>
    <mergeCell ref="A2:D2"/>
    <mergeCell ref="A3:D3"/>
    <mergeCell ref="E1:H1"/>
    <mergeCell ref="E2:H2"/>
    <mergeCell ref="E33:H33"/>
    <mergeCell ref="E35:H35"/>
    <mergeCell ref="E36:H36"/>
    <mergeCell ref="E38:H38"/>
    <mergeCell ref="I35:K35"/>
    <mergeCell ref="I36:K36"/>
    <mergeCell ref="I38:K38"/>
    <mergeCell ref="A35:D35"/>
    <mergeCell ref="A36:D36"/>
    <mergeCell ref="A38:D38"/>
  </mergeCells>
  <printOptions gridLines="1"/>
  <pageMargins left="0.75" right="0.36" top="1.03" bottom="0.4166666666666667" header="0.1388888888888889" footer="0.4166666666666667"/>
  <pageSetup horizontalDpi="600" verticalDpi="600" orientation="landscape" paperSize="9" scale="90" r:id="rId1"/>
  <headerFooter alignWithMargins="0">
    <oddHeader>&amp;RСтраница &amp;P&amp;P из &amp;N&amp;N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cp:lastPrinted>2013-03-15T06:18:56Z</cp:lastPrinted>
  <dcterms:created xsi:type="dcterms:W3CDTF">2013-03-15T05:58:58Z</dcterms:created>
  <dcterms:modified xsi:type="dcterms:W3CDTF">2013-03-15T06:19:13Z</dcterms:modified>
  <cp:category/>
  <cp:version/>
  <cp:contentType/>
  <cp:contentStatus/>
</cp:coreProperties>
</file>