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'Sheet2'!$4:$4</definedName>
  </definedNames>
  <calcPr fullCalcOnLoad="1"/>
</workbook>
</file>

<file path=xl/sharedStrings.xml><?xml version="1.0" encoding="utf-8"?>
<sst xmlns="http://schemas.openxmlformats.org/spreadsheetml/2006/main" count="105" uniqueCount="104">
  <si>
    <t>18,10</t>
  </si>
  <si>
    <t>ВСЕГО по Новохоперскому району</t>
  </si>
  <si>
    <t>16  16 Муниципальные районы Исполнено</t>
  </si>
  <si>
    <t>00000000000000000226</t>
  </si>
  <si>
    <t>Обслуживание внутренних долговых обязательств</t>
  </si>
  <si>
    <t>Социальные пособия, выплачиваемые организациями сектора государственного управления</t>
  </si>
  <si>
    <t>12  12 Консолидированный Исполнено</t>
  </si>
  <si>
    <t>18,4</t>
  </si>
  <si>
    <t>Расходы</t>
  </si>
  <si>
    <t>00000000000000000262</t>
  </si>
  <si>
    <t>18,14</t>
  </si>
  <si>
    <t>Пособия по социальной помощи населению</t>
  </si>
  <si>
    <t>00000000000000000222</t>
  </si>
  <si>
    <t>Расходы бюджета - ВСЕГО</t>
  </si>
  <si>
    <t>00000000000000000241</t>
  </si>
  <si>
    <t>18,2</t>
  </si>
  <si>
    <t>17  17 Городские и сельские поселения Исполнено</t>
  </si>
  <si>
    <t>7  7 Муниципальные районы План на год</t>
  </si>
  <si>
    <t>00000000000000000224</t>
  </si>
  <si>
    <t>18,12</t>
  </si>
  <si>
    <t>00000000000000000220</t>
  </si>
  <si>
    <t>18,18</t>
  </si>
  <si>
    <t>№ листа / № строки</t>
  </si>
  <si>
    <t>00000000000000000260</t>
  </si>
  <si>
    <t>Оплата труда</t>
  </si>
  <si>
    <t>18,33</t>
  </si>
  <si>
    <t>18,6</t>
  </si>
  <si>
    <t>Результат исполнения бюджета (дефицит "--", профицит "+")</t>
  </si>
  <si>
    <t>18,8</t>
  </si>
  <si>
    <t>Социальное обеспечение</t>
  </si>
  <si>
    <t>Прочие выплаты</t>
  </si>
  <si>
    <t>00079000000000000000</t>
  </si>
  <si>
    <t>00000000000000000213</t>
  </si>
  <si>
    <t>4  4 Суммы, подлежащие исключению Консолид. План на год</t>
  </si>
  <si>
    <t>00098000000000000000</t>
  </si>
  <si>
    <t>8  8 Городские и сельские поселения План на год</t>
  </si>
  <si>
    <t>18,21</t>
  </si>
  <si>
    <t>Приобретение услуг</t>
  </si>
  <si>
    <t>18,27</t>
  </si>
  <si>
    <t>00000000000000000251</t>
  </si>
  <si>
    <t>00000000000000000211</t>
  </si>
  <si>
    <t>18,29</t>
  </si>
  <si>
    <t>18,42</t>
  </si>
  <si>
    <t>Оплата труда и начисления на оплату труда</t>
  </si>
  <si>
    <t>Транспортные услуги</t>
  </si>
  <si>
    <t>00000000000000000230</t>
  </si>
  <si>
    <t>Безвозмездные и безвозвратные перечисления организациям</t>
  </si>
  <si>
    <t>Безвозмездные и безвозвратные перечисления  организациям, за исключением государственных и муниципальных организаций</t>
  </si>
  <si>
    <t>3  3 Консолидированный  План на год</t>
  </si>
  <si>
    <t>Ед. измерения: документа -  руб.</t>
  </si>
  <si>
    <t>00000000000000000340</t>
  </si>
  <si>
    <t>18,30</t>
  </si>
  <si>
    <t>18,5</t>
  </si>
  <si>
    <t>00000000000000000300</t>
  </si>
  <si>
    <t>Арендная плата за пользование имуществом</t>
  </si>
  <si>
    <t>Безвозмездные и безвозвратные перечисления государственным и муниципальным организациям</t>
  </si>
  <si>
    <t>00000000000000000223</t>
  </si>
  <si>
    <t>Безвозмездные и безвозвратные перечисления бюджетам</t>
  </si>
  <si>
    <t>Обслуживание долговых обязательств</t>
  </si>
  <si>
    <t>00000000000000000263</t>
  </si>
  <si>
    <t>18,15</t>
  </si>
  <si>
    <t>18,11</t>
  </si>
  <si>
    <t>Наименование показателя</t>
  </si>
  <si>
    <t>00000000000000000242</t>
  </si>
  <si>
    <t>Услуги связи</t>
  </si>
  <si>
    <t>18,1</t>
  </si>
  <si>
    <t>18,17</t>
  </si>
  <si>
    <t>18,19</t>
  </si>
  <si>
    <t>00000000000000000221</t>
  </si>
  <si>
    <t>18,9</t>
  </si>
  <si>
    <t>МЕСЯЧНЫЙ ОТЧЕТ ОБ ИСПОЛНЕНИИ БЮДЖЕТА</t>
  </si>
  <si>
    <t>18,7</t>
  </si>
  <si>
    <t>00000000000000000200</t>
  </si>
  <si>
    <t>00000000000000000240</t>
  </si>
  <si>
    <t>Увеличение стоимости материальных запасов</t>
  </si>
  <si>
    <t>18,3</t>
  </si>
  <si>
    <t>13  13 Суммы, подлежащие исключению Консолид. Исполнено</t>
  </si>
  <si>
    <t>18,13</t>
  </si>
  <si>
    <t xml:space="preserve"> </t>
  </si>
  <si>
    <t>00000000000000000225</t>
  </si>
  <si>
    <t>Поступление нефинансовых активов</t>
  </si>
  <si>
    <t>18,20</t>
  </si>
  <si>
    <t>00000000000000000310</t>
  </si>
  <si>
    <t>Прочие услуги</t>
  </si>
  <si>
    <t>18,41</t>
  </si>
  <si>
    <t>Коммунальные услуги</t>
  </si>
  <si>
    <t>Начисления на оплату труда</t>
  </si>
  <si>
    <t>18,24</t>
  </si>
  <si>
    <t>Ед. измерения: отчета -  руб.</t>
  </si>
  <si>
    <t>00000000000000000212</t>
  </si>
  <si>
    <t>Услуги по содержанию имущества</t>
  </si>
  <si>
    <t>Код показателя</t>
  </si>
  <si>
    <t>00096000000000000000</t>
  </si>
  <si>
    <t>00000000000000000231</t>
  </si>
  <si>
    <t>Увеличение стоимости основных средств</t>
  </si>
  <si>
    <t>Прочие расходы</t>
  </si>
  <si>
    <t>18,28</t>
  </si>
  <si>
    <t>00000000000000000210</t>
  </si>
  <si>
    <t>Расходы бюджета - ИТОГО</t>
  </si>
  <si>
    <t>18,26</t>
  </si>
  <si>
    <t>00000000000000000250</t>
  </si>
  <si>
    <t>00000000000000000290</t>
  </si>
  <si>
    <t>Перечисления другим бюджетам бюджетной системы Российской Федерации</t>
  </si>
  <si>
    <t>Расходы бюджета (краткие) на 01.01.2013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</si>
</sst>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4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8">
    <xf numFmtId="0" fontId="0" fillId="0" borderId="0" xfId="0" applyAlignment="1">
      <alignment/>
    </xf>
    <xf numFmtId="0" fontId="3" fillId="0" borderId="1" xfId="0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Border="1" applyAlignment="1">
      <alignment horizontal="center" vertical="top" wrapText="1"/>
    </xf>
    <xf numFmtId="0" fontId="1" fillId="0" borderId="0" xfId="0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2" xfId="0" applyBorder="1" applyAlignment="1">
      <alignment horizontal="left" vertical="top" wrapText="1"/>
    </xf>
    <xf numFmtId="0" fontId="0" fillId="0" borderId="2" xfId="0" applyBorder="1" applyAlignment="1">
      <alignment/>
    </xf>
    <xf numFmtId="0" fontId="2" fillId="0" borderId="2" xfId="0" applyBorder="1" applyAlignment="1">
      <alignment horizontal="center" vertical="top" wrapText="1"/>
    </xf>
    <xf numFmtId="0" fontId="1" fillId="0" borderId="3" xfId="0" applyBorder="1" applyAlignment="1">
      <alignment horizontal="center" wrapText="1"/>
    </xf>
    <xf numFmtId="0" fontId="1" fillId="0" borderId="3" xfId="0" applyBorder="1" applyAlignment="1">
      <alignment horizontal="left" wrapText="1"/>
    </xf>
    <xf numFmtId="167" fontId="1" fillId="0" borderId="3" xfId="0" applyBorder="1" applyAlignment="1">
      <alignment horizontal="right" wrapText="1"/>
    </xf>
    <xf numFmtId="0" fontId="1" fillId="0" borderId="0" xfId="0" applyBorder="1" applyAlignment="1">
      <alignment horizontal="center" wrapText="1"/>
    </xf>
    <xf numFmtId="0" fontId="1" fillId="0" borderId="0" xfId="0" applyBorder="1" applyAlignment="1">
      <alignment horizontal="left" wrapText="1"/>
    </xf>
    <xf numFmtId="167" fontId="1" fillId="0" borderId="0" xfId="0" applyBorder="1" applyAlignment="1">
      <alignment horizontal="right" wrapText="1"/>
    </xf>
    <xf numFmtId="0" fontId="0" fillId="0" borderId="0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="60" workbookViewId="0" topLeftCell="A1">
      <selection activeCell="A5" sqref="A5:K36"/>
    </sheetView>
  </sheetViews>
  <sheetFormatPr defaultColWidth="9.140625" defaultRowHeight="12.75"/>
  <cols>
    <col min="1" max="1" width="7.421875" style="0" customWidth="1"/>
    <col min="2" max="2" width="15.57421875" style="0" customWidth="1"/>
    <col min="3" max="3" width="16.7109375" style="0" customWidth="1"/>
    <col min="4" max="4" width="11.7109375" style="0" customWidth="1"/>
    <col min="5" max="5" width="10.140625" style="0" customWidth="1"/>
    <col min="6" max="6" width="12.8515625" style="0" customWidth="1"/>
    <col min="7" max="7" width="12.28125" style="0" customWidth="1"/>
    <col min="8" max="8" width="12.140625" style="0" customWidth="1"/>
    <col min="9" max="9" width="10.140625" style="0" customWidth="1"/>
    <col min="10" max="10" width="13.00390625" style="0" customWidth="1"/>
    <col min="11" max="11" width="11.7109375" style="0" customWidth="1"/>
  </cols>
  <sheetData>
    <row r="1" spans="1:11" ht="12.75" customHeight="1">
      <c r="A1" s="3"/>
      <c r="B1" s="4"/>
      <c r="C1" s="5" t="s">
        <v>70</v>
      </c>
      <c r="D1" s="4"/>
      <c r="E1" s="4"/>
      <c r="F1" s="4"/>
      <c r="G1" s="6" t="s">
        <v>88</v>
      </c>
      <c r="H1" s="4"/>
      <c r="I1" s="4"/>
      <c r="J1" s="4"/>
      <c r="K1" s="4"/>
    </row>
    <row r="2" spans="1:11" ht="12.75" customHeight="1">
      <c r="A2" s="3"/>
      <c r="B2" s="4"/>
      <c r="C2" s="7" t="s">
        <v>103</v>
      </c>
      <c r="D2" s="4"/>
      <c r="E2" s="4"/>
      <c r="F2" s="4"/>
      <c r="G2" s="6" t="s">
        <v>49</v>
      </c>
      <c r="H2" s="4"/>
      <c r="I2" s="4"/>
      <c r="J2" s="4"/>
      <c r="K2" s="4"/>
    </row>
    <row r="3" spans="1:11" ht="12.75">
      <c r="A3" s="8" t="s">
        <v>78</v>
      </c>
      <c r="B3" s="9"/>
      <c r="C3" s="10" t="s">
        <v>1</v>
      </c>
      <c r="D3" s="9"/>
      <c r="E3" s="9"/>
      <c r="F3" s="9"/>
      <c r="G3" s="8" t="s">
        <v>78</v>
      </c>
      <c r="H3" s="9"/>
      <c r="I3" s="9"/>
      <c r="J3" s="9"/>
      <c r="K3" s="9"/>
    </row>
    <row r="4" spans="1:11" ht="72">
      <c r="A4" s="1" t="s">
        <v>22</v>
      </c>
      <c r="B4" s="1" t="s">
        <v>91</v>
      </c>
      <c r="C4" s="1" t="s">
        <v>62</v>
      </c>
      <c r="D4" s="1" t="s">
        <v>48</v>
      </c>
      <c r="E4" s="1" t="s">
        <v>33</v>
      </c>
      <c r="F4" s="1" t="s">
        <v>17</v>
      </c>
      <c r="G4" s="1" t="s">
        <v>35</v>
      </c>
      <c r="H4" s="1" t="s">
        <v>6</v>
      </c>
      <c r="I4" s="1" t="s">
        <v>76</v>
      </c>
      <c r="J4" s="1" t="s">
        <v>2</v>
      </c>
      <c r="K4" s="1" t="s">
        <v>16</v>
      </c>
    </row>
    <row r="5" spans="1:11" ht="18.75">
      <c r="A5" s="11" t="s">
        <v>65</v>
      </c>
      <c r="B5" s="12" t="s">
        <v>92</v>
      </c>
      <c r="C5" s="12" t="s">
        <v>98</v>
      </c>
      <c r="D5" s="13">
        <f>ROUND(1139833925.25,2)</f>
        <v>1139833925.25</v>
      </c>
      <c r="E5" s="13">
        <f>ROUND(90975019.58,2)</f>
        <v>90975019.58</v>
      </c>
      <c r="F5" s="13">
        <f>ROUND(1018148309.04,2)</f>
        <v>1018148309.04</v>
      </c>
      <c r="G5" s="13">
        <f>ROUND(212660635.79,2)</f>
        <v>212660635.79</v>
      </c>
      <c r="H5" s="13">
        <f>ROUND(1125155321.81,2)</f>
        <v>1125155321.81</v>
      </c>
      <c r="I5" s="13">
        <f>ROUND(90734412.33,2)</f>
        <v>90734412.33</v>
      </c>
      <c r="J5" s="13">
        <f>ROUND(1007174619.73,2)</f>
        <v>1007174619.73</v>
      </c>
      <c r="K5" s="13">
        <f>ROUND(208715114.41,2)</f>
        <v>208715114.41</v>
      </c>
    </row>
    <row r="6" spans="1:11" ht="12.75">
      <c r="A6" s="14" t="s">
        <v>15</v>
      </c>
      <c r="B6" s="15" t="s">
        <v>72</v>
      </c>
      <c r="C6" s="15" t="s">
        <v>8</v>
      </c>
      <c r="D6" s="16">
        <f>ROUND(618257960.22,2)</f>
        <v>618257960.22</v>
      </c>
      <c r="E6" s="16">
        <f>ROUND(90975019.58,2)</f>
        <v>90975019.58</v>
      </c>
      <c r="F6" s="16">
        <f>ROUND(540461317.69,2)</f>
        <v>540461317.69</v>
      </c>
      <c r="G6" s="16">
        <f>ROUND(168771662.11,2)</f>
        <v>168771662.11</v>
      </c>
      <c r="H6" s="16">
        <f>ROUND(613020447.16,2)</f>
        <v>613020447.16</v>
      </c>
      <c r="I6" s="16">
        <f>ROUND(90734412.33,2)</f>
        <v>90734412.33</v>
      </c>
      <c r="J6" s="16">
        <f>ROUND(536168340.95,2)</f>
        <v>536168340.95</v>
      </c>
      <c r="K6" s="16">
        <f>ROUND(167586518.54,2)</f>
        <v>167586518.54</v>
      </c>
    </row>
    <row r="7" spans="1:11" ht="27.75">
      <c r="A7" s="14" t="s">
        <v>75</v>
      </c>
      <c r="B7" s="15" t="s">
        <v>97</v>
      </c>
      <c r="C7" s="15" t="s">
        <v>43</v>
      </c>
      <c r="D7" s="16">
        <f>ROUND(294762863.19,2)</f>
        <v>294762863.19</v>
      </c>
      <c r="E7" s="16">
        <f aca="true" t="shared" si="0" ref="E7:E17">ROUND(0,2)</f>
        <v>0</v>
      </c>
      <c r="F7" s="16">
        <f>ROUND(213671822.92,2)</f>
        <v>213671822.92</v>
      </c>
      <c r="G7" s="16">
        <f>ROUND(81091040.27,2)</f>
        <v>81091040.27</v>
      </c>
      <c r="H7" s="16">
        <f>ROUND(294082832.18,2)</f>
        <v>294082832.18</v>
      </c>
      <c r="I7" s="16">
        <f aca="true" t="shared" si="1" ref="I7:I17">ROUND(0,2)</f>
        <v>0</v>
      </c>
      <c r="J7" s="16">
        <f>ROUND(213547772.48,2)</f>
        <v>213547772.48</v>
      </c>
      <c r="K7" s="16">
        <f>ROUND(80535059.7,2)</f>
        <v>80535059.7</v>
      </c>
    </row>
    <row r="8" spans="1:11" ht="12.75">
      <c r="A8" s="14" t="s">
        <v>7</v>
      </c>
      <c r="B8" s="15" t="s">
        <v>40</v>
      </c>
      <c r="C8" s="15" t="s">
        <v>24</v>
      </c>
      <c r="D8" s="16">
        <f>ROUND(226886690.62,2)</f>
        <v>226886690.62</v>
      </c>
      <c r="E8" s="16">
        <f t="shared" si="0"/>
        <v>0</v>
      </c>
      <c r="F8" s="16">
        <f>ROUND(163884030.44,2)</f>
        <v>163884030.44</v>
      </c>
      <c r="G8" s="16">
        <f>ROUND(63002660.18,2)</f>
        <v>63002660.18</v>
      </c>
      <c r="H8" s="16">
        <f>ROUND(226386797.74,2)</f>
        <v>226386797.74</v>
      </c>
      <c r="I8" s="16">
        <f t="shared" si="1"/>
        <v>0</v>
      </c>
      <c r="J8" s="16">
        <f>ROUND(163799819.31,2)</f>
        <v>163799819.31</v>
      </c>
      <c r="K8" s="16">
        <f>ROUND(62586978.43,2)</f>
        <v>62586978.43</v>
      </c>
    </row>
    <row r="9" spans="1:11" ht="12.75">
      <c r="A9" s="14" t="s">
        <v>52</v>
      </c>
      <c r="B9" s="15" t="s">
        <v>89</v>
      </c>
      <c r="C9" s="15" t="s">
        <v>30</v>
      </c>
      <c r="D9" s="16">
        <f>ROUND(2769431.66,2)</f>
        <v>2769431.66</v>
      </c>
      <c r="E9" s="16">
        <f t="shared" si="0"/>
        <v>0</v>
      </c>
      <c r="F9" s="16">
        <f>ROUND(2673031.66,2)</f>
        <v>2673031.66</v>
      </c>
      <c r="G9" s="16">
        <f>ROUND(96400,2)</f>
        <v>96400</v>
      </c>
      <c r="H9" s="16">
        <f>ROUND(2769331.66,2)</f>
        <v>2769331.66</v>
      </c>
      <c r="I9" s="16">
        <f t="shared" si="1"/>
        <v>0</v>
      </c>
      <c r="J9" s="16">
        <f>ROUND(2672931.66,2)</f>
        <v>2672931.66</v>
      </c>
      <c r="K9" s="16">
        <f>ROUND(96400,2)</f>
        <v>96400</v>
      </c>
    </row>
    <row r="10" spans="1:11" ht="18.75">
      <c r="A10" s="14" t="s">
        <v>26</v>
      </c>
      <c r="B10" s="15" t="s">
        <v>32</v>
      </c>
      <c r="C10" s="15" t="s">
        <v>86</v>
      </c>
      <c r="D10" s="16">
        <f>ROUND(65106740.91,2)</f>
        <v>65106740.91</v>
      </c>
      <c r="E10" s="16">
        <f t="shared" si="0"/>
        <v>0</v>
      </c>
      <c r="F10" s="16">
        <f>ROUND(47114760.82,2)</f>
        <v>47114760.82</v>
      </c>
      <c r="G10" s="16">
        <f>ROUND(17991980.09,2)</f>
        <v>17991980.09</v>
      </c>
      <c r="H10" s="16">
        <f>ROUND(64926702.78,2)</f>
        <v>64926702.78</v>
      </c>
      <c r="I10" s="16">
        <f t="shared" si="1"/>
        <v>0</v>
      </c>
      <c r="J10" s="16">
        <f>ROUND(47075021.51,2)</f>
        <v>47075021.51</v>
      </c>
      <c r="K10" s="16">
        <f>ROUND(17851681.27,2)</f>
        <v>17851681.27</v>
      </c>
    </row>
    <row r="11" spans="1:11" ht="12.75">
      <c r="A11" s="14" t="s">
        <v>71</v>
      </c>
      <c r="B11" s="15" t="s">
        <v>20</v>
      </c>
      <c r="C11" s="15" t="s">
        <v>37</v>
      </c>
      <c r="D11" s="16">
        <f>ROUND(148408118.07,2)</f>
        <v>148408118.07</v>
      </c>
      <c r="E11" s="16">
        <f t="shared" si="0"/>
        <v>0</v>
      </c>
      <c r="F11" s="16">
        <f>ROUND(78516496.58,2)</f>
        <v>78516496.58</v>
      </c>
      <c r="G11" s="16">
        <f>ROUND(69891621.49,2)</f>
        <v>69891621.49</v>
      </c>
      <c r="H11" s="16">
        <f>ROUND(147885636.16,2)</f>
        <v>147885636.16</v>
      </c>
      <c r="I11" s="16">
        <f t="shared" si="1"/>
        <v>0</v>
      </c>
      <c r="J11" s="16">
        <f>ROUND(78440177.67,2)</f>
        <v>78440177.67</v>
      </c>
      <c r="K11" s="16">
        <f>ROUND(69445458.49,2)</f>
        <v>69445458.49</v>
      </c>
    </row>
    <row r="12" spans="1:11" ht="12.75">
      <c r="A12" s="14" t="s">
        <v>28</v>
      </c>
      <c r="B12" s="15" t="s">
        <v>68</v>
      </c>
      <c r="C12" s="15" t="s">
        <v>64</v>
      </c>
      <c r="D12" s="16">
        <f>ROUND(5416379.9,2)</f>
        <v>5416379.9</v>
      </c>
      <c r="E12" s="16">
        <f t="shared" si="0"/>
        <v>0</v>
      </c>
      <c r="F12" s="16">
        <f>ROUND(3820142.49,2)</f>
        <v>3820142.49</v>
      </c>
      <c r="G12" s="16">
        <f>ROUND(1596237.41,2)</f>
        <v>1596237.41</v>
      </c>
      <c r="H12" s="16">
        <f>ROUND(5397655.59,2)</f>
        <v>5397655.59</v>
      </c>
      <c r="I12" s="16">
        <f t="shared" si="1"/>
        <v>0</v>
      </c>
      <c r="J12" s="16">
        <f>ROUND(3820142.49,2)</f>
        <v>3820142.49</v>
      </c>
      <c r="K12" s="16">
        <f>ROUND(1577513.1,2)</f>
        <v>1577513.1</v>
      </c>
    </row>
    <row r="13" spans="1:11" ht="12.75">
      <c r="A13" s="14" t="s">
        <v>69</v>
      </c>
      <c r="B13" s="15" t="s">
        <v>12</v>
      </c>
      <c r="C13" s="15" t="s">
        <v>44</v>
      </c>
      <c r="D13" s="16">
        <f>ROUND(807403.1,2)</f>
        <v>807403.1</v>
      </c>
      <c r="E13" s="16">
        <f t="shared" si="0"/>
        <v>0</v>
      </c>
      <c r="F13" s="16">
        <f>ROUND(274654.76,2)</f>
        <v>274654.76</v>
      </c>
      <c r="G13" s="16">
        <f>ROUND(532748.34,2)</f>
        <v>532748.34</v>
      </c>
      <c r="H13" s="16">
        <f>ROUND(796701.1,2)</f>
        <v>796701.1</v>
      </c>
      <c r="I13" s="16">
        <f t="shared" si="1"/>
        <v>0</v>
      </c>
      <c r="J13" s="16">
        <f>ROUND(274654.76,2)</f>
        <v>274654.76</v>
      </c>
      <c r="K13" s="16">
        <f>ROUND(522046.34,2)</f>
        <v>522046.34</v>
      </c>
    </row>
    <row r="14" spans="1:11" ht="12.75">
      <c r="A14" s="14" t="s">
        <v>0</v>
      </c>
      <c r="B14" s="15" t="s">
        <v>56</v>
      </c>
      <c r="C14" s="15" t="s">
        <v>85</v>
      </c>
      <c r="D14" s="16">
        <f>ROUND(29447541.55,2)</f>
        <v>29447541.55</v>
      </c>
      <c r="E14" s="16">
        <f t="shared" si="0"/>
        <v>0</v>
      </c>
      <c r="F14" s="16">
        <f>ROUND(18028611.83,2)</f>
        <v>18028611.83</v>
      </c>
      <c r="G14" s="16">
        <f>ROUND(11418929.72,2)</f>
        <v>11418929.72</v>
      </c>
      <c r="H14" s="16">
        <f>ROUND(29426860.86,2)</f>
        <v>29426860.86</v>
      </c>
      <c r="I14" s="16">
        <f t="shared" si="1"/>
        <v>0</v>
      </c>
      <c r="J14" s="16">
        <f>ROUND(18028611.83,2)</f>
        <v>18028611.83</v>
      </c>
      <c r="K14" s="16">
        <f>ROUND(11398249.03,2)</f>
        <v>11398249.03</v>
      </c>
    </row>
    <row r="15" spans="1:11" ht="27.75">
      <c r="A15" s="14" t="s">
        <v>61</v>
      </c>
      <c r="B15" s="15" t="s">
        <v>18</v>
      </c>
      <c r="C15" s="15" t="s">
        <v>54</v>
      </c>
      <c r="D15" s="16">
        <f>ROUND(14409,2)</f>
        <v>14409</v>
      </c>
      <c r="E15" s="16">
        <f t="shared" si="0"/>
        <v>0</v>
      </c>
      <c r="F15" s="16">
        <f>ROUND(0,2)</f>
        <v>0</v>
      </c>
      <c r="G15" s="16">
        <f>ROUND(14409,2)</f>
        <v>14409</v>
      </c>
      <c r="H15" s="16">
        <f>ROUND(4809,2)</f>
        <v>4809</v>
      </c>
      <c r="I15" s="16">
        <f t="shared" si="1"/>
        <v>0</v>
      </c>
      <c r="J15" s="16">
        <f>ROUND(0,2)</f>
        <v>0</v>
      </c>
      <c r="K15" s="16">
        <f>ROUND(4809,2)</f>
        <v>4809</v>
      </c>
    </row>
    <row r="16" spans="1:11" ht="18.75">
      <c r="A16" s="14" t="s">
        <v>19</v>
      </c>
      <c r="B16" s="15" t="s">
        <v>79</v>
      </c>
      <c r="C16" s="15" t="s">
        <v>90</v>
      </c>
      <c r="D16" s="16">
        <f>ROUND(63559431.34,2)</f>
        <v>63559431.34</v>
      </c>
      <c r="E16" s="16">
        <f t="shared" si="0"/>
        <v>0</v>
      </c>
      <c r="F16" s="16">
        <f>ROUND(24405503.3,2)</f>
        <v>24405503.3</v>
      </c>
      <c r="G16" s="16">
        <f>ROUND(39153928.04,2)</f>
        <v>39153928.04</v>
      </c>
      <c r="H16" s="16">
        <f>ROUND(63414650.34,2)</f>
        <v>63414650.34</v>
      </c>
      <c r="I16" s="16">
        <f t="shared" si="1"/>
        <v>0</v>
      </c>
      <c r="J16" s="16">
        <f>ROUND(24405503.3,2)</f>
        <v>24405503.3</v>
      </c>
      <c r="K16" s="16">
        <f>ROUND(39009147.04,2)</f>
        <v>39009147.04</v>
      </c>
    </row>
    <row r="17" spans="1:11" ht="12.75">
      <c r="A17" s="14" t="s">
        <v>77</v>
      </c>
      <c r="B17" s="15" t="s">
        <v>3</v>
      </c>
      <c r="C17" s="15" t="s">
        <v>83</v>
      </c>
      <c r="D17" s="16">
        <f>ROUND(49162953.18,2)</f>
        <v>49162953.18</v>
      </c>
      <c r="E17" s="16">
        <f t="shared" si="0"/>
        <v>0</v>
      </c>
      <c r="F17" s="16">
        <f>ROUND(31987584.2,2)</f>
        <v>31987584.2</v>
      </c>
      <c r="G17" s="16">
        <f>ROUND(17175368.98,2)</f>
        <v>17175368.98</v>
      </c>
      <c r="H17" s="16">
        <f>ROUND(48844959.27,2)</f>
        <v>48844959.27</v>
      </c>
      <c r="I17" s="16">
        <f t="shared" si="1"/>
        <v>0</v>
      </c>
      <c r="J17" s="16">
        <f>ROUND(31911265.29,2)</f>
        <v>31911265.29</v>
      </c>
      <c r="K17" s="16">
        <f>ROUND(16933693.98,2)</f>
        <v>16933693.98</v>
      </c>
    </row>
    <row r="18" spans="1:11" ht="18.75">
      <c r="A18" s="14" t="s">
        <v>10</v>
      </c>
      <c r="B18" s="15" t="s">
        <v>45</v>
      </c>
      <c r="C18" s="15" t="s">
        <v>58</v>
      </c>
      <c r="D18" s="16">
        <f>ROUND(355251.14,2)</f>
        <v>355251.14</v>
      </c>
      <c r="E18" s="16">
        <f>ROUND(119457.33,2)</f>
        <v>119457.33</v>
      </c>
      <c r="F18" s="16">
        <f>ROUND(355251.14,2)</f>
        <v>355251.14</v>
      </c>
      <c r="G18" s="16">
        <f>ROUND(119457.33,2)</f>
        <v>119457.33</v>
      </c>
      <c r="H18" s="16">
        <f>ROUND(355251.14,2)</f>
        <v>355251.14</v>
      </c>
      <c r="I18" s="16">
        <f>ROUND(119457.33,2)</f>
        <v>119457.33</v>
      </c>
      <c r="J18" s="16">
        <f>ROUND(355251.14,2)</f>
        <v>355251.14</v>
      </c>
      <c r="K18" s="16">
        <f>ROUND(119457.33,2)</f>
        <v>119457.33</v>
      </c>
    </row>
    <row r="19" spans="1:11" ht="27.75">
      <c r="A19" s="14" t="s">
        <v>60</v>
      </c>
      <c r="B19" s="15" t="s">
        <v>93</v>
      </c>
      <c r="C19" s="15" t="s">
        <v>4</v>
      </c>
      <c r="D19" s="16">
        <f>ROUND(355251.14,2)</f>
        <v>355251.14</v>
      </c>
      <c r="E19" s="16">
        <f>ROUND(119457.33,2)</f>
        <v>119457.33</v>
      </c>
      <c r="F19" s="16">
        <f>ROUND(355251.14,2)</f>
        <v>355251.14</v>
      </c>
      <c r="G19" s="16">
        <f>ROUND(119457.33,2)</f>
        <v>119457.33</v>
      </c>
      <c r="H19" s="16">
        <f>ROUND(355251.14,2)</f>
        <v>355251.14</v>
      </c>
      <c r="I19" s="16">
        <f>ROUND(119457.33,2)</f>
        <v>119457.33</v>
      </c>
      <c r="J19" s="16">
        <f>ROUND(355251.14,2)</f>
        <v>355251.14</v>
      </c>
      <c r="K19" s="16">
        <f>ROUND(119457.33,2)</f>
        <v>119457.33</v>
      </c>
    </row>
    <row r="20" spans="1:11" ht="36.75">
      <c r="A20" s="14" t="s">
        <v>66</v>
      </c>
      <c r="B20" s="15" t="s">
        <v>73</v>
      </c>
      <c r="C20" s="15" t="s">
        <v>46</v>
      </c>
      <c r="D20" s="16">
        <f>ROUND(141684461.4,2)</f>
        <v>141684461.4</v>
      </c>
      <c r="E20" s="16">
        <f>ROUND(0,2)</f>
        <v>0</v>
      </c>
      <c r="F20" s="16">
        <f>ROUND(128740118.58,2)</f>
        <v>128740118.58</v>
      </c>
      <c r="G20" s="16">
        <f>ROUND(12944342.82,2)</f>
        <v>12944342.82</v>
      </c>
      <c r="H20" s="16">
        <f>ROUND(141334654.02,2)</f>
        <v>141334654.02</v>
      </c>
      <c r="I20" s="16">
        <f>ROUND(0,2)</f>
        <v>0</v>
      </c>
      <c r="J20" s="16">
        <f>ROUND(128390311.2,2)</f>
        <v>128390311.2</v>
      </c>
      <c r="K20" s="16">
        <f>ROUND(12944342.82,2)</f>
        <v>12944342.82</v>
      </c>
    </row>
    <row r="21" spans="1:11" ht="54.75">
      <c r="A21" s="14" t="s">
        <v>21</v>
      </c>
      <c r="B21" s="15" t="s">
        <v>14</v>
      </c>
      <c r="C21" s="15" t="s">
        <v>55</v>
      </c>
      <c r="D21" s="16">
        <f>ROUND(123855381.58,2)</f>
        <v>123855381.58</v>
      </c>
      <c r="E21" s="16">
        <f>ROUND(0,2)</f>
        <v>0</v>
      </c>
      <c r="F21" s="16">
        <f>ROUND(123855381.58,2)</f>
        <v>123855381.58</v>
      </c>
      <c r="G21" s="16">
        <f>ROUND(0,2)</f>
        <v>0</v>
      </c>
      <c r="H21" s="16">
        <f>ROUND(123505574.2,2)</f>
        <v>123505574.2</v>
      </c>
      <c r="I21" s="16">
        <f>ROUND(0,2)</f>
        <v>0</v>
      </c>
      <c r="J21" s="16">
        <f>ROUND(123505574.2,2)</f>
        <v>123505574.2</v>
      </c>
      <c r="K21" s="16">
        <f>ROUND(0,2)</f>
        <v>0</v>
      </c>
    </row>
    <row r="22" spans="1:11" ht="72.75">
      <c r="A22" s="14" t="s">
        <v>67</v>
      </c>
      <c r="B22" s="15" t="s">
        <v>63</v>
      </c>
      <c r="C22" s="15" t="s">
        <v>47</v>
      </c>
      <c r="D22" s="16">
        <f>ROUND(17829079.82,2)</f>
        <v>17829079.82</v>
      </c>
      <c r="E22" s="16">
        <f>ROUND(0,2)</f>
        <v>0</v>
      </c>
      <c r="F22" s="16">
        <f>ROUND(4884737,2)</f>
        <v>4884737</v>
      </c>
      <c r="G22" s="16">
        <f>ROUND(12944342.82,2)</f>
        <v>12944342.82</v>
      </c>
      <c r="H22" s="16">
        <f>ROUND(17829079.82,2)</f>
        <v>17829079.82</v>
      </c>
      <c r="I22" s="16">
        <f>ROUND(0,2)</f>
        <v>0</v>
      </c>
      <c r="J22" s="16">
        <f>ROUND(4884737,2)</f>
        <v>4884737</v>
      </c>
      <c r="K22" s="16">
        <f>ROUND(12944342.82,2)</f>
        <v>12944342.82</v>
      </c>
    </row>
    <row r="23" spans="1:11" ht="27.75">
      <c r="A23" s="14" t="s">
        <v>81</v>
      </c>
      <c r="B23" s="15" t="s">
        <v>100</v>
      </c>
      <c r="C23" s="15" t="s">
        <v>57</v>
      </c>
      <c r="D23" s="16">
        <f>ROUND(0,2)</f>
        <v>0</v>
      </c>
      <c r="E23" s="16">
        <f>ROUND(90855562.25,2)</f>
        <v>90855562.25</v>
      </c>
      <c r="F23" s="16">
        <f>ROUND(90855562.25,2)</f>
        <v>90855562.25</v>
      </c>
      <c r="G23" s="16">
        <f>ROUND(0,2)</f>
        <v>0</v>
      </c>
      <c r="H23" s="16">
        <f>ROUND(0,2)</f>
        <v>0</v>
      </c>
      <c r="I23" s="16">
        <f>ROUND(90614955,2)</f>
        <v>90614955</v>
      </c>
      <c r="J23" s="16">
        <f>ROUND(90614955,2)</f>
        <v>90614955</v>
      </c>
      <c r="K23" s="16">
        <f>ROUND(0,2)</f>
        <v>0</v>
      </c>
    </row>
    <row r="24" spans="1:11" ht="36.75">
      <c r="A24" s="14" t="s">
        <v>36</v>
      </c>
      <c r="B24" s="15" t="s">
        <v>39</v>
      </c>
      <c r="C24" s="15" t="s">
        <v>102</v>
      </c>
      <c r="D24" s="16">
        <f>ROUND(0,2)</f>
        <v>0</v>
      </c>
      <c r="E24" s="16">
        <f>ROUND(90855562.25,2)</f>
        <v>90855562.25</v>
      </c>
      <c r="F24" s="16">
        <f>ROUND(90855562.25,2)</f>
        <v>90855562.25</v>
      </c>
      <c r="G24" s="16">
        <f>ROUND(0,2)</f>
        <v>0</v>
      </c>
      <c r="H24" s="16">
        <f>ROUND(0,2)</f>
        <v>0</v>
      </c>
      <c r="I24" s="16">
        <f>ROUND(90614955,2)</f>
        <v>90614955</v>
      </c>
      <c r="J24" s="16">
        <f>ROUND(90614955,2)</f>
        <v>90614955</v>
      </c>
      <c r="K24" s="16">
        <f>ROUND(0,2)</f>
        <v>0</v>
      </c>
    </row>
    <row r="25" spans="1:11" ht="18.75">
      <c r="A25" s="14" t="s">
        <v>87</v>
      </c>
      <c r="B25" s="15" t="s">
        <v>23</v>
      </c>
      <c r="C25" s="15" t="s">
        <v>29</v>
      </c>
      <c r="D25" s="16">
        <f>ROUND(29619402.87,2)</f>
        <v>29619402.87</v>
      </c>
      <c r="E25" s="16">
        <f aca="true" t="shared" si="2" ref="E25:E31">ROUND(0,2)</f>
        <v>0</v>
      </c>
      <c r="F25" s="16">
        <f>ROUND(26954710.66,2)</f>
        <v>26954710.66</v>
      </c>
      <c r="G25" s="16">
        <f>ROUND(2664692.21,2)</f>
        <v>2664692.21</v>
      </c>
      <c r="H25" s="16">
        <f>ROUND(26617210.11,2)</f>
        <v>26617210.11</v>
      </c>
      <c r="I25" s="16">
        <f aca="true" t="shared" si="3" ref="I25:I31">ROUND(0,2)</f>
        <v>0</v>
      </c>
      <c r="J25" s="16">
        <f>ROUND(23952517.9,2)</f>
        <v>23952517.9</v>
      </c>
      <c r="K25" s="16">
        <f>ROUND(2664692.21,2)</f>
        <v>2664692.21</v>
      </c>
    </row>
    <row r="26" spans="1:11" ht="18.75">
      <c r="A26" s="14" t="s">
        <v>99</v>
      </c>
      <c r="B26" s="15" t="s">
        <v>9</v>
      </c>
      <c r="C26" s="15" t="s">
        <v>11</v>
      </c>
      <c r="D26" s="16">
        <f>ROUND(22413977.75,2)</f>
        <v>22413977.75</v>
      </c>
      <c r="E26" s="16">
        <f t="shared" si="2"/>
        <v>0</v>
      </c>
      <c r="F26" s="16">
        <f>ROUND(21752598,2)</f>
        <v>21752598</v>
      </c>
      <c r="G26" s="16">
        <f>ROUND(661379.75,2)</f>
        <v>661379.75</v>
      </c>
      <c r="H26" s="16">
        <f>ROUND(19411784.99,2)</f>
        <v>19411784.99</v>
      </c>
      <c r="I26" s="16">
        <f t="shared" si="3"/>
        <v>0</v>
      </c>
      <c r="J26" s="16">
        <f>ROUND(18750405.24,2)</f>
        <v>18750405.24</v>
      </c>
      <c r="K26" s="16">
        <f>ROUND(661379.75,2)</f>
        <v>661379.75</v>
      </c>
    </row>
    <row r="27" spans="1:11" ht="45.75">
      <c r="A27" s="14" t="s">
        <v>38</v>
      </c>
      <c r="B27" s="15" t="s">
        <v>59</v>
      </c>
      <c r="C27" s="15" t="s">
        <v>5</v>
      </c>
      <c r="D27" s="16">
        <f>ROUND(7205425.12,2)</f>
        <v>7205425.12</v>
      </c>
      <c r="E27" s="16">
        <f t="shared" si="2"/>
        <v>0</v>
      </c>
      <c r="F27" s="16">
        <f>ROUND(5202112.66,2)</f>
        <v>5202112.66</v>
      </c>
      <c r="G27" s="16">
        <f>ROUND(2003312.46,2)</f>
        <v>2003312.46</v>
      </c>
      <c r="H27" s="16">
        <f>ROUND(7205425.12,2)</f>
        <v>7205425.12</v>
      </c>
      <c r="I27" s="16">
        <f t="shared" si="3"/>
        <v>0</v>
      </c>
      <c r="J27" s="16">
        <f>ROUND(5202112.66,2)</f>
        <v>5202112.66</v>
      </c>
      <c r="K27" s="16">
        <f>ROUND(2003312.46,2)</f>
        <v>2003312.46</v>
      </c>
    </row>
    <row r="28" spans="1:11" ht="12.75">
      <c r="A28" s="14" t="s">
        <v>96</v>
      </c>
      <c r="B28" s="15" t="s">
        <v>101</v>
      </c>
      <c r="C28" s="15" t="s">
        <v>95</v>
      </c>
      <c r="D28" s="16">
        <f>ROUND(3427863.55,2)</f>
        <v>3427863.55</v>
      </c>
      <c r="E28" s="16">
        <f t="shared" si="2"/>
        <v>0</v>
      </c>
      <c r="F28" s="16">
        <f>ROUND(1367355.56,2)</f>
        <v>1367355.56</v>
      </c>
      <c r="G28" s="16">
        <f>ROUND(2060507.99,2)</f>
        <v>2060507.99</v>
      </c>
      <c r="H28" s="16">
        <f>ROUND(2744863.55,2)</f>
        <v>2744863.55</v>
      </c>
      <c r="I28" s="16">
        <f t="shared" si="3"/>
        <v>0</v>
      </c>
      <c r="J28" s="16">
        <f>ROUND(867355.56,2)</f>
        <v>867355.56</v>
      </c>
      <c r="K28" s="16">
        <f>ROUND(1877507.99,2)</f>
        <v>1877507.99</v>
      </c>
    </row>
    <row r="29" spans="1:11" ht="18.75">
      <c r="A29" s="14" t="s">
        <v>41</v>
      </c>
      <c r="B29" s="15" t="s">
        <v>53</v>
      </c>
      <c r="C29" s="15" t="s">
        <v>80</v>
      </c>
      <c r="D29" s="16">
        <f>ROUND(521575965.03,2)</f>
        <v>521575965.03</v>
      </c>
      <c r="E29" s="16">
        <f t="shared" si="2"/>
        <v>0</v>
      </c>
      <c r="F29" s="16">
        <f>ROUND(477686991.35,2)</f>
        <v>477686991.35</v>
      </c>
      <c r="G29" s="16">
        <f>ROUND(43888973.68,2)</f>
        <v>43888973.68</v>
      </c>
      <c r="H29" s="16">
        <f>ROUND(512134874.65,2)</f>
        <v>512134874.65</v>
      </c>
      <c r="I29" s="16">
        <f t="shared" si="3"/>
        <v>0</v>
      </c>
      <c r="J29" s="16">
        <f>ROUND(471006278.78,2)</f>
        <v>471006278.78</v>
      </c>
      <c r="K29" s="16">
        <f>ROUND(41128595.87,2)</f>
        <v>41128595.87</v>
      </c>
    </row>
    <row r="30" spans="1:11" ht="18.75">
      <c r="A30" s="14" t="s">
        <v>51</v>
      </c>
      <c r="B30" s="15" t="s">
        <v>82</v>
      </c>
      <c r="C30" s="15" t="s">
        <v>94</v>
      </c>
      <c r="D30" s="16">
        <f>ROUND(481277887.58,2)</f>
        <v>481277887.58</v>
      </c>
      <c r="E30" s="16">
        <f t="shared" si="2"/>
        <v>0</v>
      </c>
      <c r="F30" s="16">
        <f>ROUND(451121148.19,2)</f>
        <v>451121148.19</v>
      </c>
      <c r="G30" s="16">
        <f>ROUND(30156739.39,2)</f>
        <v>30156739.39</v>
      </c>
      <c r="H30" s="16">
        <f>ROUND(471996810.45,2)</f>
        <v>471996810.45</v>
      </c>
      <c r="I30" s="16">
        <f t="shared" si="3"/>
        <v>0</v>
      </c>
      <c r="J30" s="16">
        <f>ROUND(444557435.62,2)</f>
        <v>444557435.62</v>
      </c>
      <c r="K30" s="16">
        <f>ROUND(27439374.83,2)</f>
        <v>27439374.83</v>
      </c>
    </row>
    <row r="31" spans="1:11" ht="18.75">
      <c r="A31" s="14" t="s">
        <v>25</v>
      </c>
      <c r="B31" s="15" t="s">
        <v>50</v>
      </c>
      <c r="C31" s="15" t="s">
        <v>74</v>
      </c>
      <c r="D31" s="16">
        <f>ROUND(40298077.45,2)</f>
        <v>40298077.45</v>
      </c>
      <c r="E31" s="16">
        <f t="shared" si="2"/>
        <v>0</v>
      </c>
      <c r="F31" s="16">
        <f>ROUND(26565843.16,2)</f>
        <v>26565843.16</v>
      </c>
      <c r="G31" s="16">
        <f>ROUND(13732234.29,2)</f>
        <v>13732234.29</v>
      </c>
      <c r="H31" s="16">
        <f>ROUND(40138064.2,2)</f>
        <v>40138064.2</v>
      </c>
      <c r="I31" s="16">
        <f t="shared" si="3"/>
        <v>0</v>
      </c>
      <c r="J31" s="16">
        <f>ROUND(26448843.16,2)</f>
        <v>26448843.16</v>
      </c>
      <c r="K31" s="16">
        <f>ROUND(13689221.04,2)</f>
        <v>13689221.04</v>
      </c>
    </row>
    <row r="32" spans="1:11" ht="18.75">
      <c r="A32" s="14" t="s">
        <v>84</v>
      </c>
      <c r="B32" s="15" t="s">
        <v>34</v>
      </c>
      <c r="C32" s="15" t="s">
        <v>13</v>
      </c>
      <c r="D32" s="16">
        <f>ROUND(1139833925.25,2)</f>
        <v>1139833925.25</v>
      </c>
      <c r="E32" s="16">
        <f>ROUND(90975019.58,2)</f>
        <v>90975019.58</v>
      </c>
      <c r="F32" s="16">
        <f>ROUND(1018148309.04,2)</f>
        <v>1018148309.04</v>
      </c>
      <c r="G32" s="16">
        <f>ROUND(212660635.79,2)</f>
        <v>212660635.79</v>
      </c>
      <c r="H32" s="16">
        <f>ROUND(1125155321.81,2)</f>
        <v>1125155321.81</v>
      </c>
      <c r="I32" s="16">
        <f>ROUND(90734412.33,2)</f>
        <v>90734412.33</v>
      </c>
      <c r="J32" s="16">
        <f>ROUND(1007174619.73,2)</f>
        <v>1007174619.73</v>
      </c>
      <c r="K32" s="16">
        <f>ROUND(208715114.41,2)</f>
        <v>208715114.41</v>
      </c>
    </row>
    <row r="33" spans="1:11" ht="27.75">
      <c r="A33" s="14" t="s">
        <v>42</v>
      </c>
      <c r="B33" s="15" t="s">
        <v>31</v>
      </c>
      <c r="C33" s="15" t="s">
        <v>27</v>
      </c>
      <c r="D33" s="16">
        <f>ROUND(-134454044.58,2)</f>
        <v>-134454044.58</v>
      </c>
      <c r="E33" s="16">
        <f>ROUND(0,2)</f>
        <v>0</v>
      </c>
      <c r="F33" s="16">
        <f>ROUND(-116094442.04,2)</f>
        <v>-116094442.04</v>
      </c>
      <c r="G33" s="16">
        <f>ROUND(-18359602.54,2)</f>
        <v>-18359602.54</v>
      </c>
      <c r="H33" s="16">
        <f>ROUND(-122126335.35,2)</f>
        <v>-122126335.35</v>
      </c>
      <c r="I33" s="16">
        <f>ROUND(0,2)</f>
        <v>0</v>
      </c>
      <c r="J33" s="16">
        <f>ROUND(-107934351.23,2)</f>
        <v>-107934351.23</v>
      </c>
      <c r="K33" s="16">
        <f>ROUND(-14191984.12,2)</f>
        <v>-14191984.12</v>
      </c>
    </row>
    <row r="34" spans="1:11" ht="12.75">
      <c r="A34" s="17"/>
      <c r="B34" s="17"/>
      <c r="C34" s="17"/>
      <c r="D34" s="17"/>
      <c r="E34" s="17"/>
      <c r="F34" s="17"/>
      <c r="G34" s="17"/>
      <c r="H34" s="17"/>
      <c r="I34" s="4"/>
      <c r="J34" s="4"/>
      <c r="K34" s="4"/>
    </row>
    <row r="35" spans="1:11" ht="12.75" customHeight="1">
      <c r="A35" s="17"/>
      <c r="B35" s="17"/>
      <c r="C35" s="17"/>
      <c r="D35" s="17"/>
      <c r="E35" s="17"/>
      <c r="F35" s="17"/>
      <c r="G35" s="17"/>
      <c r="H35" s="17"/>
      <c r="I35" s="4"/>
      <c r="J35" s="4"/>
      <c r="K35" s="4"/>
    </row>
    <row r="36" spans="1:11" ht="12.75">
      <c r="A36" s="17"/>
      <c r="B36" s="17"/>
      <c r="C36" s="17"/>
      <c r="D36" s="17"/>
      <c r="E36" s="17"/>
      <c r="F36" s="17"/>
      <c r="G36" s="17"/>
      <c r="H36" s="17"/>
      <c r="I36" s="4"/>
      <c r="J36" s="4"/>
      <c r="K36" s="4"/>
    </row>
    <row r="37" spans="9:11" ht="12.75" customHeight="1">
      <c r="I37" s="2"/>
      <c r="J37" s="2"/>
      <c r="K37" s="2"/>
    </row>
  </sheetData>
  <mergeCells count="16">
    <mergeCell ref="I34:K34"/>
    <mergeCell ref="I35:K35"/>
    <mergeCell ref="I36:K36"/>
    <mergeCell ref="I37:K37"/>
    <mergeCell ref="I1:K1"/>
    <mergeCell ref="I2:K2"/>
    <mergeCell ref="I3:K3"/>
    <mergeCell ref="G1:H1"/>
    <mergeCell ref="G2:H2"/>
    <mergeCell ref="G3:H3"/>
    <mergeCell ref="A1:B1"/>
    <mergeCell ref="A2:B2"/>
    <mergeCell ref="A3:B3"/>
    <mergeCell ref="C1:F1"/>
    <mergeCell ref="C2:F2"/>
    <mergeCell ref="C3:F3"/>
  </mergeCells>
  <printOptions gridLines="1"/>
  <pageMargins left="0.75" right="0.75" top="0.4166666666666667" bottom="0.4166666666666667" header="0.1388888888888889" footer="0.4166666666666667"/>
  <pageSetup horizontalDpi="600" verticalDpi="600" orientation="landscape" paperSize="9" scale="99" r:id="rId1"/>
  <headerFooter alignWithMargins="0">
    <oddHeader>&amp;RСтраница &amp;P&amp;P из &amp;N&amp;N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buh4</cp:lastModifiedBy>
  <cp:lastPrinted>2013-02-20T06:49:39Z</cp:lastPrinted>
  <dcterms:created xsi:type="dcterms:W3CDTF">2013-02-05T05:03:23Z</dcterms:created>
  <dcterms:modified xsi:type="dcterms:W3CDTF">2013-02-20T06:49:41Z</dcterms:modified>
  <cp:category/>
  <cp:version/>
  <cp:contentType/>
  <cp:contentStatus/>
</cp:coreProperties>
</file>