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<sst xmlns="http://schemas.openxmlformats.org/spreadsheetml/2006/main" count="325" uniqueCount="310">
  <si>
    <t>Выплата единовременного пособия при всех формах устройства детей, лишенных родительского попечения, в семью</t>
  </si>
  <si>
    <t>02525 000 0409 0000000 000 000</t>
  </si>
  <si>
    <t>ВСЕГО по Новохоперскому району</t>
  </si>
  <si>
    <t>в других сферах, из них за счет средств субсидий, предоставляемых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</si>
  <si>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</si>
  <si>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103,3</t>
  </si>
  <si>
    <t>101,160</t>
  </si>
  <si>
    <t>в том числе: в сфере образования</t>
  </si>
  <si>
    <t>101,437</t>
  </si>
  <si>
    <t>101,319</t>
  </si>
  <si>
    <t>из них: Мероприятия по проведению оздоровительной кампании детей</t>
  </si>
  <si>
    <t>101,95</t>
  </si>
  <si>
    <t>14000 000 0000 0000000 000 000</t>
  </si>
  <si>
    <t>10720 000 0000 0000000 000 000</t>
  </si>
  <si>
    <t>капитальный ремонт и реконструкцию общеобразовательных учреждений</t>
  </si>
  <si>
    <t>13200 000 0800 0000000 000 000</t>
  </si>
  <si>
    <t>101,91</t>
  </si>
  <si>
    <t>в сфере здравоохранения, из них за счет средств субсидий, предоставляемых</t>
  </si>
  <si>
    <t>24000 000 0000 0000000 000 000</t>
  </si>
  <si>
    <t>23200 000 0800 0000000 000 000</t>
  </si>
  <si>
    <t>в том числе: Организация питания учащихся в общеобразовательных учреждениях</t>
  </si>
  <si>
    <t>12320 000 0000 0000000 000 290</t>
  </si>
  <si>
    <t>00210 000 0000 0000000 000 211</t>
  </si>
  <si>
    <t>101,230</t>
  </si>
  <si>
    <t>12202 000 0000 0000000 000 226</t>
  </si>
  <si>
    <t>03818 000 0702 4362100 000 000</t>
  </si>
  <si>
    <t>03800 000 0700 0000000 000 000</t>
  </si>
  <si>
    <t>103,9</t>
  </si>
  <si>
    <t>Федеральные целевые программы (без ФАИП)</t>
  </si>
  <si>
    <t>Осуществление первичного воинского учета на территориях, где отсутствуют военные комиссариаты</t>
  </si>
  <si>
    <t>09302 000 1003 0000000 000 262</t>
  </si>
  <si>
    <t>02511 000 0409 0000000 000 000</t>
  </si>
  <si>
    <t>103,7</t>
  </si>
  <si>
    <t>Начисления на выплаты по оплате труда</t>
  </si>
  <si>
    <t>101,458</t>
  </si>
  <si>
    <t>101,490</t>
  </si>
  <si>
    <t>101,99</t>
  </si>
  <si>
    <t>ОСТАТКИ СРЕДСТВ БЮДЖЕТОВ НА ОТЧЕТНУЮ ДАТУ:</t>
  </si>
  <si>
    <t>101,147</t>
  </si>
  <si>
    <t>развитие школьной инфраструктуры</t>
  </si>
  <si>
    <t>в других сферах</t>
  </si>
  <si>
    <t>103,1</t>
  </si>
  <si>
    <t>101,410</t>
  </si>
  <si>
    <t>101,162</t>
  </si>
  <si>
    <t>02910 000 0000 0000000 000 000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</si>
  <si>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</si>
  <si>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101,395</t>
  </si>
  <si>
    <t>101,238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</si>
  <si>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</si>
  <si>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Служащие</t>
  </si>
  <si>
    <t>101,122</t>
  </si>
  <si>
    <t>1  1 Утверждено консолидированный бюджет субъекта РФ</t>
  </si>
  <si>
    <t>Оздоровление детей</t>
  </si>
  <si>
    <t>Расходы по содержанию органов местного самоуправления, всего</t>
  </si>
  <si>
    <t>00231 000 0000 0000000 000 213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</si>
  <si>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</si>
  <si>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начисления на выплаты по оплате труда</t>
  </si>
  <si>
    <t>101,183</t>
  </si>
  <si>
    <t>9  9 Утверждено бюджеты муниципальных районов</t>
  </si>
  <si>
    <t>Подпрограмма "Обеспечение жильем молодых семей"</t>
  </si>
  <si>
    <t>Поддержка коммунального хозяйства, всего</t>
  </si>
  <si>
    <t>03811 000 0702 4362100 000 000</t>
  </si>
  <si>
    <t>103,5</t>
  </si>
  <si>
    <t>101,414</t>
  </si>
  <si>
    <t>Прочие работы, услуги, всего:</t>
  </si>
  <si>
    <t>101,374</t>
  </si>
  <si>
    <t>№ листа / № строки</t>
  </si>
  <si>
    <t>в том числе: Строительство</t>
  </si>
  <si>
    <t>101,512</t>
  </si>
  <si>
    <t>в сфере образования, из них за счет средств субсидий, предоставляемых</t>
  </si>
  <si>
    <t>Мероприятия в области образования</t>
  </si>
  <si>
    <t>10800 000 0000 0000000 000 000</t>
  </si>
  <si>
    <t>101,454</t>
  </si>
  <si>
    <t>Муниципальные служащие</t>
  </si>
  <si>
    <t>Федеральная целевая программа "Социальное развитие села до 2013 года"</t>
  </si>
  <si>
    <t>101,259</t>
  </si>
  <si>
    <t>08203 000 1004 0000000 000 000</t>
  </si>
  <si>
    <t>101,143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</si>
  <si>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</si>
  <si>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</si>
  <si>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04200 000 0000 0000000 000 000</t>
  </si>
  <si>
    <t>12205 000 0000 0000000 000 226</t>
  </si>
  <si>
    <t>Социальное обеспечение</t>
  </si>
  <si>
    <t>24100 000 0700 0000000 000 000</t>
  </si>
  <si>
    <t>14600 000 0000 0000000 000 000</t>
  </si>
  <si>
    <t>Выплата региональной доплаты к пенсии</t>
  </si>
  <si>
    <t>02911 000 0501 0000000 000 000</t>
  </si>
  <si>
    <t>101,387</t>
  </si>
  <si>
    <t>07900 000 1004 5050502 000 000</t>
  </si>
  <si>
    <t>101,155</t>
  </si>
  <si>
    <t>000 0000 0000000 000 211 01</t>
  </si>
  <si>
    <t>03801 000 0702 0000000 000 000</t>
  </si>
  <si>
    <t>101,115</t>
  </si>
  <si>
    <t>101,429</t>
  </si>
  <si>
    <t>101,245</t>
  </si>
  <si>
    <t>101,151</t>
  </si>
  <si>
    <t>на начисления на выплаты по оплате труда  - по 01 разделу</t>
  </si>
  <si>
    <t>в сфере культуры и кинематографии, из них за счет средств субсидий, предоставляемых</t>
  </si>
  <si>
    <t>23300 000 0900 0000000 000 000</t>
  </si>
  <si>
    <t>08201 000 1004 0000000 000 000</t>
  </si>
  <si>
    <t>02514 000 0409 0000000 000 000</t>
  </si>
  <si>
    <t>10101 000 0000 0000000 000 000</t>
  </si>
  <si>
    <t>24600 000 0000 0000000 000 000</t>
  </si>
  <si>
    <t>14100 000 0700 0000000 000 000</t>
  </si>
  <si>
    <t>101,260</t>
  </si>
  <si>
    <t>на заработную плату  - по 01 разделу в том числе:</t>
  </si>
  <si>
    <t>03813 000 0702 4362100 000 000</t>
  </si>
  <si>
    <t>101,383</t>
  </si>
  <si>
    <t>Региональные и муниципальные программы в области энергосбережения и повышения энергетической эффективности</t>
  </si>
  <si>
    <t>101,117</t>
  </si>
  <si>
    <t>уплату штрафов, пеней за несвоевременную уплату налогов и сборов, другие экономические санкции</t>
  </si>
  <si>
    <t>в том числе: Субсидии на осуществление мероприятий по обеспечению жильем граждан Российской Федерации, проживающих в сельской местности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</si>
  <si>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</si>
  <si>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10722 000 0000 0000000 000 000</t>
  </si>
  <si>
    <t>08700 000 0000 1001100 000 000</t>
  </si>
  <si>
    <t>03900 000 0702 5200900 000 000</t>
  </si>
  <si>
    <t>101,305</t>
  </si>
  <si>
    <t>101,159</t>
  </si>
  <si>
    <t>101,22</t>
  </si>
  <si>
    <t>02900 000 0000 0000000 000 000</t>
  </si>
  <si>
    <t>Расходы по содержанию органов местного самоуправления, всего - по 01 разделу</t>
  </si>
  <si>
    <t>Начисления на выплаты по оплате труда, в том числе:</t>
  </si>
  <si>
    <t>бюджетным учреждениям</t>
  </si>
  <si>
    <t>повышение квалификации, профессиональной переподготовки руководителей общеобразовательных учреждений и учителей</t>
  </si>
  <si>
    <t>101,385</t>
  </si>
  <si>
    <t>101,228</t>
  </si>
  <si>
    <t>101,508</t>
  </si>
  <si>
    <t>00220 000 0000 0000000 000 212</t>
  </si>
  <si>
    <t>101,320</t>
  </si>
  <si>
    <t>21  21 Исполнено бюджеты муниципальных районов</t>
  </si>
  <si>
    <t>Содержание ребенка в семье опекуна и приемной семье, а также вознаграждение, причитающееся приемному родителю</t>
  </si>
  <si>
    <t>101,381</t>
  </si>
  <si>
    <t>09300 000 0000 0000000 000 000</t>
  </si>
  <si>
    <t>12200 000 0000 0000000 000 226</t>
  </si>
  <si>
    <t>03814 000 0702 4362100 000 000</t>
  </si>
  <si>
    <t>24301 000 0900 0000000 000 000</t>
  </si>
  <si>
    <t>101,26</t>
  </si>
  <si>
    <t>12101 000 0000 0000000 000 225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</si>
  <si>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</si>
  <si>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101,28</t>
  </si>
  <si>
    <t>00800 000 0203 0013600 000 000</t>
  </si>
  <si>
    <t>Расходы на содержание имущества, всего:</t>
  </si>
  <si>
    <t>03817 000 0702 4362100 000 000</t>
  </si>
  <si>
    <t>00211 000 0000 0000000 000 211</t>
  </si>
  <si>
    <t>Ед. измерения: документа -  руб.</t>
  </si>
  <si>
    <t>10110 000 0000 0000000 000 000</t>
  </si>
  <si>
    <t>02921 000 0501 0000000 000 000</t>
  </si>
  <si>
    <t>101,90</t>
  </si>
  <si>
    <t>14  14 Исполнено консолидированный бюджет субъекта РФ (средства федерального бюджета)</t>
  </si>
  <si>
    <t>в том числе: выплаты приемной семье на содержание подопечных детей</t>
  </si>
  <si>
    <t>из них: бюджетные инвестиции (без ФАИП)</t>
  </si>
  <si>
    <t>пополнение фондов школьных библиотек</t>
  </si>
  <si>
    <t>101,140</t>
  </si>
  <si>
    <t>Мероприятия в сфере культуры и кинематографии</t>
  </si>
  <si>
    <t>101,377</t>
  </si>
  <si>
    <t>из них: остатки целевых средств бюджетов</t>
  </si>
  <si>
    <t>101,511</t>
  </si>
  <si>
    <t>02510 000 0409 0000000 000 000</t>
  </si>
  <si>
    <t>103,6</t>
  </si>
  <si>
    <t>101,417</t>
  </si>
  <si>
    <t>02800 000 0501 0000000 000 000</t>
  </si>
  <si>
    <t>103,8</t>
  </si>
  <si>
    <t>04400 000 0800 4400000 000 000</t>
  </si>
  <si>
    <t>энергосбережение в системе общего образования</t>
  </si>
  <si>
    <t>12203 000 0000 0000000 000 226</t>
  </si>
  <si>
    <t>10700 000 0000 0000000 000 000</t>
  </si>
  <si>
    <t>101,231</t>
  </si>
  <si>
    <t>услуги вневедомственной (в том числе пожарной) охраны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</si>
  <si>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</si>
  <si>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101,457</t>
  </si>
  <si>
    <t>101,379</t>
  </si>
  <si>
    <t>выплаты семьям опекунов на содержание подопечных детей</t>
  </si>
  <si>
    <t>МУНИЦИПАЛЬНЫЙ ДОЛГ, всего</t>
  </si>
  <si>
    <t>103,2</t>
  </si>
  <si>
    <t>101,413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</si>
  <si>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</si>
  <si>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</si>
  <si>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</si>
  <si>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</si>
  <si>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101,398</t>
  </si>
  <si>
    <t>04401 000 0801 4400200 000 000</t>
  </si>
  <si>
    <t>03100 000 0503 0000000 000 000</t>
  </si>
  <si>
    <t>04600 000 0900 5201800 000 000</t>
  </si>
  <si>
    <t>04201 000 0707 4320200 000 000</t>
  </si>
  <si>
    <t>101,250</t>
  </si>
  <si>
    <t>101,436</t>
  </si>
  <si>
    <t>101,144</t>
  </si>
  <si>
    <t>22  22 Исполнено бюджеты муниципальных районов (средства федерального бюджета)</t>
  </si>
  <si>
    <t>Модернизация региональных систем общего образования, всего, в том числе расходы на:</t>
  </si>
  <si>
    <t>Расходы на заработную плату работникам учреждений,  в том числе:</t>
  </si>
  <si>
    <t>10801 000 0000 0000000 000 000</t>
  </si>
  <si>
    <t>101,127</t>
  </si>
  <si>
    <t>101,375</t>
  </si>
  <si>
    <t>03810 000 0702 4362100 000 000</t>
  </si>
  <si>
    <t>101,182</t>
  </si>
  <si>
    <t>Поддержка развития дошкольных образовательных учреждений в субъектах Российской Федерации</t>
  </si>
  <si>
    <t>103,4</t>
  </si>
  <si>
    <t>101,167</t>
  </si>
  <si>
    <t>12204 000 0000 0000000 000 226</t>
  </si>
  <si>
    <t>101,92</t>
  </si>
  <si>
    <t>23000 000 0000 0000000 000 000</t>
  </si>
  <si>
    <t>24200 000 0800 0000000 000 000</t>
  </si>
  <si>
    <t>08202 000 1004 0000000 000 000</t>
  </si>
  <si>
    <t>МЕСЯЧНЫЙ ОТЧЕТ ОБ ИСПОЛНЕНИИ БЮДЖЕТА</t>
  </si>
  <si>
    <t>2  2 Утверждено консолидированный бюджет субъекта РФ (средства федерального бюджета)</t>
  </si>
  <si>
    <t>объем основного долга по бюджетным кредитам, привлеченным в местный бюджет, всего</t>
  </si>
  <si>
    <t>13000 000 0000 0000000 000 000</t>
  </si>
  <si>
    <t>14200 000 0800 0000000 000 000</t>
  </si>
  <si>
    <t>в сфере культуры и кинематографии, из них в образовательных учреждениях</t>
  </si>
  <si>
    <t>Прочие расходы, всего:</t>
  </si>
  <si>
    <t>06200 000 1003 0000000 000 000</t>
  </si>
  <si>
    <t>101,148</t>
  </si>
  <si>
    <t>Мероприятия по обеспечению жильем иных категорий граждан на основании решений Правительства Российской Федерации</t>
  </si>
  <si>
    <t>из них расходы на:       заработную плату</t>
  </si>
  <si>
    <t>101,491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</si>
  <si>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</si>
  <si>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06100 000 0000 0000000 000 260</t>
  </si>
  <si>
    <t>00230 000 0000 0000000 000 213</t>
  </si>
  <si>
    <t>101,123</t>
  </si>
  <si>
    <t xml:space="preserve"> </t>
  </si>
  <si>
    <t>101,394</t>
  </si>
  <si>
    <t>101,239</t>
  </si>
  <si>
    <t>101,56</t>
  </si>
  <si>
    <t>101,163</t>
  </si>
  <si>
    <t>бюджетные кредиты, полученные из бюджета субъекта Российской Федерации</t>
  </si>
  <si>
    <t>приобретение оборудования</t>
  </si>
  <si>
    <t>12  12 Утверждено бюджеты городских и сельских поселений (средства федерального бюджета)</t>
  </si>
  <si>
    <t>муниципальных служащих, работников, замещающих муниципальные должности</t>
  </si>
  <si>
    <t>10100 000 0000 0000000 000 000</t>
  </si>
  <si>
    <t>101,302</t>
  </si>
  <si>
    <t>101,25</t>
  </si>
  <si>
    <t>Субсидии на обеспечение жильем</t>
  </si>
  <si>
    <t>Благоустройство</t>
  </si>
  <si>
    <t>000 0000 0000000 000 213 01</t>
  </si>
  <si>
    <t>101,487</t>
  </si>
  <si>
    <t>23301 000 0900 0000000 000 000</t>
  </si>
  <si>
    <t>08200 000 1004 0000000 000 000</t>
  </si>
  <si>
    <t>03000 000 0502 0000000 000 000</t>
  </si>
  <si>
    <t>Расходы, осуществляемые за счет межбюджетных трансфертов из бюджетов субъектов Российской Федерации</t>
  </si>
  <si>
    <t>в том числе на: содержание в чистоте помещений, зданий, дворов, иного имущества</t>
  </si>
  <si>
    <t>Ежемесячное денежное вознаграждение за классное руководство</t>
  </si>
  <si>
    <t>12206 000 0000 0000000 000 226</t>
  </si>
  <si>
    <t>101,150</t>
  </si>
  <si>
    <t>101,382</t>
  </si>
  <si>
    <t>Поддержка жилищного хозяйства, всего</t>
  </si>
  <si>
    <t>12208 000 0000 0000000 000 226</t>
  </si>
  <si>
    <t>02500 000 0409 0000000 000 000</t>
  </si>
  <si>
    <t>101,261</t>
  </si>
  <si>
    <t>101,541</t>
  </si>
  <si>
    <t>13  13 Исполнено консолидированный бюджет субъекта РФ</t>
  </si>
  <si>
    <t>101,386</t>
  </si>
  <si>
    <t>Поддержка дорожного хозяйства</t>
  </si>
  <si>
    <t>бюджетные кредиты, полученные из местного бюджета</t>
  </si>
  <si>
    <t>12310 000 0000 0000000 000 290</t>
  </si>
  <si>
    <t>в том числе: обеспечение мероприятий по капитальному ремонту многоквартирных домов</t>
  </si>
  <si>
    <t>Ремонт и содержание</t>
  </si>
  <si>
    <t>вознаграждение приемного родителя</t>
  </si>
  <si>
    <t>101,388</t>
  </si>
  <si>
    <t>101,225</t>
  </si>
  <si>
    <t>23  23 Исполнено бюджеты городских и сельских поселений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</si>
  <si>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</si>
  <si>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101,21</t>
  </si>
  <si>
    <t>10000 000 0000 0000000 000 000</t>
  </si>
  <si>
    <t>101,154</t>
  </si>
  <si>
    <t>Ед. измерения: отчета -  руб.</t>
  </si>
  <si>
    <t>в том числе:                                                                                                       в сфере образования</t>
  </si>
  <si>
    <t>08100 000 1004 0000000 000 000</t>
  </si>
  <si>
    <t>24  24 Исполнено бюджеты городских и сельских поселений (средства федерального бюджета)</t>
  </si>
  <si>
    <t>101,380</t>
  </si>
  <si>
    <t>10  10 Утверждено бюджеты муниципальных районов (средства федерального бюджета)</t>
  </si>
  <si>
    <t>Код показателя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</si>
  <si>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</si>
  <si>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Региональные и муниципальные  программы (без ФАИП)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</si>
  <si>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</si>
  <si>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прочие выплаты</t>
  </si>
  <si>
    <t>23600 000 0000 0000000 000 000</t>
  </si>
  <si>
    <t>13100 000 0700 0000000 000 000</t>
  </si>
  <si>
    <t>101,263</t>
  </si>
  <si>
    <t>02920 000 0000 0000000 000 000</t>
  </si>
  <si>
    <t>12100 000 0000 0000000 000 225</t>
  </si>
  <si>
    <t>101,152</t>
  </si>
  <si>
    <t>101,29</t>
  </si>
  <si>
    <t>Муниципальные должности</t>
  </si>
  <si>
    <t>101,300</t>
  </si>
  <si>
    <t>101,248</t>
  </si>
  <si>
    <t>24300 000 0900 0000000 000 000</t>
  </si>
  <si>
    <t>03815 000 0702 4362100 000 000</t>
  </si>
  <si>
    <t>00200 000 0000 0000000 000 000</t>
  </si>
  <si>
    <t>101,112</t>
  </si>
  <si>
    <t>101,156</t>
  </si>
  <si>
    <t>10723 000 0000 0000000 000 000</t>
  </si>
  <si>
    <t>08701 000 0000 1001100 000 000</t>
  </si>
  <si>
    <t>101,304</t>
  </si>
  <si>
    <t>101,23</t>
  </si>
  <si>
    <t>101,116</t>
  </si>
  <si>
    <t>услуги в области информационных технологий</t>
  </si>
  <si>
    <t>00221 000 0000 0000000 000 212</t>
  </si>
  <si>
    <t>101,227</t>
  </si>
  <si>
    <t>101,133</t>
  </si>
  <si>
    <t>в сфере культуры и кинематографии</t>
  </si>
  <si>
    <t>101,229</t>
  </si>
  <si>
    <t>23100 000 0700 0000000 000 000</t>
  </si>
  <si>
    <t>13600 000 0000 0000000 000 000</t>
  </si>
  <si>
    <t>09000 000 1003 1008820 000 000</t>
  </si>
  <si>
    <t>03600 000 0701 0000000 000 000</t>
  </si>
  <si>
    <t>Справка к месячному отчету на 01.01.2013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</si>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</sst>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10"/>
      <color indexed="8"/>
      <name val="Times New Roman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Border="1" applyAlignment="1">
      <alignment horizontal="center" vertical="top" wrapText="1"/>
    </xf>
    <xf numFmtId="0" fontId="1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2" fillId="0" borderId="2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1" fillId="0" borderId="3" xfId="0" applyBorder="1" applyAlignment="1">
      <alignment horizontal="center" wrapText="1"/>
    </xf>
    <xf numFmtId="0" fontId="1" fillId="0" borderId="3" xfId="0" applyBorder="1" applyAlignment="1">
      <alignment horizontal="left" wrapText="1"/>
    </xf>
    <xf numFmtId="167" fontId="1" fillId="0" borderId="3" xfId="0" applyBorder="1" applyAlignment="1">
      <alignment horizontal="right" wrapText="1"/>
    </xf>
    <xf numFmtId="0" fontId="1" fillId="0" borderId="0" xfId="0" applyBorder="1" applyAlignment="1">
      <alignment horizontal="center" wrapText="1"/>
    </xf>
    <xf numFmtId="0" fontId="1" fillId="0" borderId="0" xfId="0" applyBorder="1" applyAlignment="1">
      <alignment horizontal="left" wrapText="1"/>
    </xf>
    <xf numFmtId="167" fontId="1" fillId="0" borderId="0" xfId="0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7109375" style="0" customWidth="1"/>
    <col min="2" max="2" width="21.57421875" style="0" customWidth="1"/>
    <col min="3" max="3" width="19.7109375" style="0" customWidth="1"/>
    <col min="4" max="4" width="12.00390625" style="0" customWidth="1"/>
    <col min="5" max="5" width="10.140625" style="0" customWidth="1"/>
    <col min="6" max="6" width="11.8515625" style="0" customWidth="1"/>
    <col min="7" max="9" width="10.140625" style="0" customWidth="1"/>
    <col min="10" max="10" width="12.28125" style="0" customWidth="1"/>
    <col min="11" max="11" width="10.140625" style="0" customWidth="1"/>
    <col min="12" max="12" width="12.57421875" style="0" customWidth="1"/>
    <col min="13" max="16" width="10.140625" style="0" customWidth="1"/>
  </cols>
  <sheetData>
    <row r="1" spans="1:15" ht="43.5" customHeight="1">
      <c r="A1" s="2"/>
      <c r="B1" s="3"/>
      <c r="C1" s="3"/>
      <c r="D1" s="3"/>
      <c r="E1" s="4" t="s">
        <v>203</v>
      </c>
      <c r="F1" s="3"/>
      <c r="G1" s="3"/>
      <c r="H1" s="3"/>
      <c r="I1" s="5" t="s">
        <v>264</v>
      </c>
      <c r="J1" s="3"/>
      <c r="K1" s="3"/>
      <c r="L1" s="3"/>
      <c r="M1" s="6"/>
      <c r="N1" s="4"/>
      <c r="O1" s="3"/>
    </row>
    <row r="2" spans="1:15" ht="42.75" customHeight="1">
      <c r="A2" s="2"/>
      <c r="B2" s="3"/>
      <c r="C2" s="3"/>
      <c r="D2" s="3"/>
      <c r="E2" s="7" t="s">
        <v>305</v>
      </c>
      <c r="F2" s="3"/>
      <c r="G2" s="3"/>
      <c r="H2" s="3"/>
      <c r="I2" s="5" t="s">
        <v>144</v>
      </c>
      <c r="J2" s="3"/>
      <c r="K2" s="3"/>
      <c r="L2" s="3"/>
      <c r="M2" s="6"/>
      <c r="N2" s="4"/>
      <c r="O2" s="3"/>
    </row>
    <row r="3" spans="1:15" ht="24.75" customHeight="1">
      <c r="A3" s="8" t="s">
        <v>219</v>
      </c>
      <c r="B3" s="9"/>
      <c r="C3" s="9"/>
      <c r="D3" s="9"/>
      <c r="E3" s="10" t="s">
        <v>2</v>
      </c>
      <c r="F3" s="9"/>
      <c r="G3" s="9"/>
      <c r="H3" s="9"/>
      <c r="I3" s="8" t="s">
        <v>219</v>
      </c>
      <c r="J3" s="9"/>
      <c r="K3" s="9"/>
      <c r="L3" s="9"/>
      <c r="M3" s="11"/>
      <c r="N3" s="10"/>
      <c r="O3" s="9"/>
    </row>
    <row r="4" spans="1:15" ht="99">
      <c r="A4" s="1" t="s">
        <v>66</v>
      </c>
      <c r="B4" s="1" t="s">
        <v>270</v>
      </c>
      <c r="C4" s="1" t="s">
        <v>177</v>
      </c>
      <c r="D4" s="1" t="s">
        <v>51</v>
      </c>
      <c r="E4" s="1" t="s">
        <v>204</v>
      </c>
      <c r="F4" s="1" t="s">
        <v>58</v>
      </c>
      <c r="G4" s="1" t="s">
        <v>269</v>
      </c>
      <c r="H4" s="1" t="s">
        <v>176</v>
      </c>
      <c r="I4" s="1" t="s">
        <v>226</v>
      </c>
      <c r="J4" s="1" t="s">
        <v>249</v>
      </c>
      <c r="K4" s="1" t="s">
        <v>148</v>
      </c>
      <c r="L4" s="1" t="s">
        <v>129</v>
      </c>
      <c r="M4" s="1" t="s">
        <v>187</v>
      </c>
      <c r="N4" s="1" t="s">
        <v>259</v>
      </c>
      <c r="O4" s="1" t="s">
        <v>267</v>
      </c>
    </row>
    <row r="5" spans="1:15" ht="27.75">
      <c r="A5" s="12" t="s">
        <v>261</v>
      </c>
      <c r="B5" s="13" t="s">
        <v>287</v>
      </c>
      <c r="C5" s="13" t="s">
        <v>53</v>
      </c>
      <c r="D5" s="14">
        <f>ROUND(93431891.18,2)</f>
        <v>93431891.18</v>
      </c>
      <c r="E5" s="14">
        <f aca="true" t="shared" si="0" ref="E5:E11">ROUND(0,2)</f>
        <v>0</v>
      </c>
      <c r="F5" s="14">
        <f>ROUND(46163294.16,2)</f>
        <v>46163294.16</v>
      </c>
      <c r="G5" s="14">
        <f aca="true" t="shared" si="1" ref="G5:G26">ROUND(0,2)</f>
        <v>0</v>
      </c>
      <c r="H5" s="14">
        <f>ROUND(47268597.02,2)</f>
        <v>47268597.02</v>
      </c>
      <c r="I5" s="14">
        <f aca="true" t="shared" si="2" ref="I5:I11">ROUND(0,2)</f>
        <v>0</v>
      </c>
      <c r="J5" s="14">
        <f>ROUND(93431891.18,2)</f>
        <v>93431891.18</v>
      </c>
      <c r="K5" s="14">
        <f aca="true" t="shared" si="3" ref="K5:K11">ROUND(0,2)</f>
        <v>0</v>
      </c>
      <c r="L5" s="14">
        <f>ROUND(46163294.16,2)</f>
        <v>46163294.16</v>
      </c>
      <c r="M5" s="14">
        <f aca="true" t="shared" si="4" ref="M5:M26">ROUND(0,2)</f>
        <v>0</v>
      </c>
      <c r="N5" s="14">
        <f>ROUND(47268597.02,2)</f>
        <v>47268597.02</v>
      </c>
      <c r="O5" s="14">
        <f aca="true" t="shared" si="5" ref="O5:O11">ROUND(0,2)</f>
        <v>0</v>
      </c>
    </row>
    <row r="6" spans="1:15" ht="18.75">
      <c r="A6" s="15" t="s">
        <v>118</v>
      </c>
      <c r="B6" s="16" t="s">
        <v>22</v>
      </c>
      <c r="C6" s="16" t="s">
        <v>213</v>
      </c>
      <c r="D6" s="17">
        <f>ROUND(49105617.4,2)</f>
        <v>49105617.4</v>
      </c>
      <c r="E6" s="17">
        <f t="shared" si="0"/>
        <v>0</v>
      </c>
      <c r="F6" s="17">
        <f>ROUND(24758113.31,2)</f>
        <v>24758113.31</v>
      </c>
      <c r="G6" s="17">
        <f t="shared" si="1"/>
        <v>0</v>
      </c>
      <c r="H6" s="17">
        <f>ROUND(24347504.09,2)</f>
        <v>24347504.09</v>
      </c>
      <c r="I6" s="17">
        <f t="shared" si="2"/>
        <v>0</v>
      </c>
      <c r="J6" s="17">
        <f>ROUND(49105617.4,2)</f>
        <v>49105617.4</v>
      </c>
      <c r="K6" s="17">
        <f t="shared" si="3"/>
        <v>0</v>
      </c>
      <c r="L6" s="17">
        <f>ROUND(24758113.31,2)</f>
        <v>24758113.31</v>
      </c>
      <c r="M6" s="17">
        <f t="shared" si="4"/>
        <v>0</v>
      </c>
      <c r="N6" s="17">
        <f>ROUND(24347504.09,2)</f>
        <v>24347504.09</v>
      </c>
      <c r="O6" s="17">
        <f t="shared" si="5"/>
        <v>0</v>
      </c>
    </row>
    <row r="7" spans="1:15" ht="27.75">
      <c r="A7" s="15" t="s">
        <v>293</v>
      </c>
      <c r="B7" s="16" t="s">
        <v>143</v>
      </c>
      <c r="C7" s="16" t="s">
        <v>227</v>
      </c>
      <c r="D7" s="17">
        <f>ROUND(49105617.4,2)</f>
        <v>49105617.4</v>
      </c>
      <c r="E7" s="17">
        <f t="shared" si="0"/>
        <v>0</v>
      </c>
      <c r="F7" s="17">
        <f>ROUND(24758113.31,2)</f>
        <v>24758113.31</v>
      </c>
      <c r="G7" s="17">
        <f t="shared" si="1"/>
        <v>0</v>
      </c>
      <c r="H7" s="17">
        <f>ROUND(24347504.09,2)</f>
        <v>24347504.09</v>
      </c>
      <c r="I7" s="17">
        <f t="shared" si="2"/>
        <v>0</v>
      </c>
      <c r="J7" s="17">
        <f>ROUND(49105617.4,2)</f>
        <v>49105617.4</v>
      </c>
      <c r="K7" s="17">
        <f t="shared" si="3"/>
        <v>0</v>
      </c>
      <c r="L7" s="17">
        <f>ROUND(24758113.31,2)</f>
        <v>24758113.31</v>
      </c>
      <c r="M7" s="17">
        <f t="shared" si="4"/>
        <v>0</v>
      </c>
      <c r="N7" s="17">
        <f>ROUND(24347504.09,2)</f>
        <v>24347504.09</v>
      </c>
      <c r="O7" s="17">
        <f t="shared" si="5"/>
        <v>0</v>
      </c>
    </row>
    <row r="8" spans="1:15" ht="12.75">
      <c r="A8" s="15" t="s">
        <v>230</v>
      </c>
      <c r="B8" s="16" t="s">
        <v>127</v>
      </c>
      <c r="C8" s="16" t="s">
        <v>274</v>
      </c>
      <c r="D8" s="17">
        <f>ROUND(21271.66,2)</f>
        <v>21271.66</v>
      </c>
      <c r="E8" s="17">
        <f t="shared" si="0"/>
        <v>0</v>
      </c>
      <c r="F8" s="17">
        <f>ROUND(19571.66,2)</f>
        <v>19571.66</v>
      </c>
      <c r="G8" s="17">
        <f t="shared" si="1"/>
        <v>0</v>
      </c>
      <c r="H8" s="17">
        <f>ROUND(1700,2)</f>
        <v>1700</v>
      </c>
      <c r="I8" s="17">
        <f t="shared" si="2"/>
        <v>0</v>
      </c>
      <c r="J8" s="17">
        <f>ROUND(21271.66,2)</f>
        <v>21271.66</v>
      </c>
      <c r="K8" s="17">
        <f t="shared" si="3"/>
        <v>0</v>
      </c>
      <c r="L8" s="17">
        <f>ROUND(19571.66,2)</f>
        <v>19571.66</v>
      </c>
      <c r="M8" s="17">
        <f t="shared" si="4"/>
        <v>0</v>
      </c>
      <c r="N8" s="17">
        <f>ROUND(1700,2)</f>
        <v>1700</v>
      </c>
      <c r="O8" s="17">
        <f t="shared" si="5"/>
        <v>0</v>
      </c>
    </row>
    <row r="9" spans="1:15" ht="27.75">
      <c r="A9" s="15" t="s">
        <v>136</v>
      </c>
      <c r="B9" s="16" t="s">
        <v>296</v>
      </c>
      <c r="C9" s="16" t="s">
        <v>227</v>
      </c>
      <c r="D9" s="17">
        <f>ROUND(21271.66,2)</f>
        <v>21271.66</v>
      </c>
      <c r="E9" s="17">
        <f t="shared" si="0"/>
        <v>0</v>
      </c>
      <c r="F9" s="17">
        <f>ROUND(19571.66,2)</f>
        <v>19571.66</v>
      </c>
      <c r="G9" s="17">
        <f t="shared" si="1"/>
        <v>0</v>
      </c>
      <c r="H9" s="17">
        <f>ROUND(1700,2)</f>
        <v>1700</v>
      </c>
      <c r="I9" s="17">
        <f t="shared" si="2"/>
        <v>0</v>
      </c>
      <c r="J9" s="17">
        <f>ROUND(21271.66,2)</f>
        <v>21271.66</v>
      </c>
      <c r="K9" s="17">
        <f t="shared" si="3"/>
        <v>0</v>
      </c>
      <c r="L9" s="17">
        <f>ROUND(19571.66,2)</f>
        <v>19571.66</v>
      </c>
      <c r="M9" s="17">
        <f t="shared" si="4"/>
        <v>0</v>
      </c>
      <c r="N9" s="17">
        <f>ROUND(1700,2)</f>
        <v>1700</v>
      </c>
      <c r="O9" s="17">
        <f t="shared" si="5"/>
        <v>0</v>
      </c>
    </row>
    <row r="10" spans="1:15" ht="18.75">
      <c r="A10" s="15" t="s">
        <v>139</v>
      </c>
      <c r="B10" s="16" t="s">
        <v>217</v>
      </c>
      <c r="C10" s="16" t="s">
        <v>56</v>
      </c>
      <c r="D10" s="17">
        <f>ROUND(13432450.44,2)</f>
        <v>13432450.44</v>
      </c>
      <c r="E10" s="17">
        <f t="shared" si="0"/>
        <v>0</v>
      </c>
      <c r="F10" s="17">
        <f>ROUND(6621099.13,2)</f>
        <v>6621099.13</v>
      </c>
      <c r="G10" s="17">
        <f t="shared" si="1"/>
        <v>0</v>
      </c>
      <c r="H10" s="17">
        <f>ROUND(6811351.31,2)</f>
        <v>6811351.31</v>
      </c>
      <c r="I10" s="17">
        <f t="shared" si="2"/>
        <v>0</v>
      </c>
      <c r="J10" s="17">
        <f>ROUND(13432450.44,2)</f>
        <v>13432450.44</v>
      </c>
      <c r="K10" s="17">
        <f t="shared" si="3"/>
        <v>0</v>
      </c>
      <c r="L10" s="17">
        <f>ROUND(6621099.13,2)</f>
        <v>6621099.13</v>
      </c>
      <c r="M10" s="17">
        <f t="shared" si="4"/>
        <v>0</v>
      </c>
      <c r="N10" s="17">
        <f>ROUND(6811351.31,2)</f>
        <v>6811351.31</v>
      </c>
      <c r="O10" s="17">
        <f t="shared" si="5"/>
        <v>0</v>
      </c>
    </row>
    <row r="11" spans="1:15" ht="27.75">
      <c r="A11" s="15" t="s">
        <v>281</v>
      </c>
      <c r="B11" s="16" t="s">
        <v>54</v>
      </c>
      <c r="C11" s="16" t="s">
        <v>227</v>
      </c>
      <c r="D11" s="17">
        <f>ROUND(13432450.44,2)</f>
        <v>13432450.44</v>
      </c>
      <c r="E11" s="17">
        <f t="shared" si="0"/>
        <v>0</v>
      </c>
      <c r="F11" s="17">
        <f>ROUND(6621099.13,2)</f>
        <v>6621099.13</v>
      </c>
      <c r="G11" s="17">
        <f t="shared" si="1"/>
        <v>0</v>
      </c>
      <c r="H11" s="17">
        <f>ROUND(6811351.31,2)</f>
        <v>6811351.31</v>
      </c>
      <c r="I11" s="17">
        <f t="shared" si="2"/>
        <v>0</v>
      </c>
      <c r="J11" s="17">
        <f>ROUND(13432450.44,2)</f>
        <v>13432450.44</v>
      </c>
      <c r="K11" s="17">
        <f t="shared" si="3"/>
        <v>0</v>
      </c>
      <c r="L11" s="17">
        <f>ROUND(6621099.13,2)</f>
        <v>6621099.13</v>
      </c>
      <c r="M11" s="17">
        <f t="shared" si="4"/>
        <v>0</v>
      </c>
      <c r="N11" s="17">
        <f>ROUND(6811351.31,2)</f>
        <v>6811351.31</v>
      </c>
      <c r="O11" s="17">
        <f t="shared" si="5"/>
        <v>0</v>
      </c>
    </row>
    <row r="12" spans="1:15" ht="45.75">
      <c r="A12" s="15" t="s">
        <v>222</v>
      </c>
      <c r="B12" s="16" t="s">
        <v>140</v>
      </c>
      <c r="C12" s="16" t="s">
        <v>29</v>
      </c>
      <c r="D12" s="17">
        <f>ROUND(1928900,2)</f>
        <v>1928900</v>
      </c>
      <c r="E12" s="17">
        <f>ROUND(1928900,2)</f>
        <v>1928900</v>
      </c>
      <c r="F12" s="17">
        <f aca="true" t="shared" si="6" ref="F12:F24">ROUND(0,2)</f>
        <v>0</v>
      </c>
      <c r="G12" s="17">
        <f t="shared" si="1"/>
        <v>0</v>
      </c>
      <c r="H12" s="17">
        <f>ROUND(1928900,2)</f>
        <v>1928900</v>
      </c>
      <c r="I12" s="17">
        <f>ROUND(1928900,2)</f>
        <v>1928900</v>
      </c>
      <c r="J12" s="17">
        <f>ROUND(1274441.63,2)</f>
        <v>1274441.63</v>
      </c>
      <c r="K12" s="17">
        <f>ROUND(1274441.63,2)</f>
        <v>1274441.63</v>
      </c>
      <c r="L12" s="17">
        <f aca="true" t="shared" si="7" ref="L12:L24">ROUND(0,2)</f>
        <v>0</v>
      </c>
      <c r="M12" s="17">
        <f t="shared" si="4"/>
        <v>0</v>
      </c>
      <c r="N12" s="17">
        <f>ROUND(1274441.63,2)</f>
        <v>1274441.63</v>
      </c>
      <c r="O12" s="17">
        <f>ROUND(1274441.63,2)</f>
        <v>1274441.63</v>
      </c>
    </row>
    <row r="13" spans="1:15" ht="18.75">
      <c r="A13" s="15" t="s">
        <v>147</v>
      </c>
      <c r="B13" s="16" t="s">
        <v>246</v>
      </c>
      <c r="C13" s="16" t="s">
        <v>251</v>
      </c>
      <c r="D13" s="17">
        <f>ROUND(19323678,2)</f>
        <v>19323678</v>
      </c>
      <c r="E13" s="17">
        <f aca="true" t="shared" si="8" ref="E13:E23">ROUND(0,2)</f>
        <v>0</v>
      </c>
      <c r="F13" s="17">
        <f t="shared" si="6"/>
        <v>0</v>
      </c>
      <c r="G13" s="17">
        <f t="shared" si="1"/>
        <v>0</v>
      </c>
      <c r="H13" s="17">
        <f>ROUND(19323678,2)</f>
        <v>19323678</v>
      </c>
      <c r="I13" s="17">
        <f aca="true" t="shared" si="9" ref="I13:I23">ROUND(0,2)</f>
        <v>0</v>
      </c>
      <c r="J13" s="17">
        <f>ROUND(19178897,2)</f>
        <v>19178897</v>
      </c>
      <c r="K13" s="17">
        <f aca="true" t="shared" si="10" ref="K13:K23">ROUND(0,2)</f>
        <v>0</v>
      </c>
      <c r="L13" s="17">
        <f t="shared" si="7"/>
        <v>0</v>
      </c>
      <c r="M13" s="17">
        <f t="shared" si="4"/>
        <v>0</v>
      </c>
      <c r="N13" s="17">
        <f>ROUND(19178897,2)</f>
        <v>19178897</v>
      </c>
      <c r="O13" s="17">
        <f aca="true" t="shared" si="11" ref="O13:O23">ROUND(0,2)</f>
        <v>0</v>
      </c>
    </row>
    <row r="14" spans="1:15" ht="72.75">
      <c r="A14" s="15" t="s">
        <v>16</v>
      </c>
      <c r="B14" s="16" t="s">
        <v>157</v>
      </c>
      <c r="C14" s="16" t="s">
        <v>273</v>
      </c>
      <c r="D14" s="17">
        <f>ROUND(19323678,2)</f>
        <v>19323678</v>
      </c>
      <c r="E14" s="17">
        <f t="shared" si="8"/>
        <v>0</v>
      </c>
      <c r="F14" s="17">
        <f t="shared" si="6"/>
        <v>0</v>
      </c>
      <c r="G14" s="17">
        <f t="shared" si="1"/>
        <v>0</v>
      </c>
      <c r="H14" s="17">
        <f>ROUND(19323678,2)</f>
        <v>19323678</v>
      </c>
      <c r="I14" s="17">
        <f t="shared" si="9"/>
        <v>0</v>
      </c>
      <c r="J14" s="17">
        <f>ROUND(19178897,2)</f>
        <v>19178897</v>
      </c>
      <c r="K14" s="17">
        <f t="shared" si="10"/>
        <v>0</v>
      </c>
      <c r="L14" s="17">
        <f t="shared" si="7"/>
        <v>0</v>
      </c>
      <c r="M14" s="17">
        <f t="shared" si="4"/>
        <v>0</v>
      </c>
      <c r="N14" s="17">
        <f>ROUND(19178897,2)</f>
        <v>19178897</v>
      </c>
      <c r="O14" s="17">
        <f t="shared" si="11"/>
        <v>0</v>
      </c>
    </row>
    <row r="15" spans="1:15" ht="12.75">
      <c r="A15" s="15" t="s">
        <v>199</v>
      </c>
      <c r="B15" s="16" t="s">
        <v>31</v>
      </c>
      <c r="C15" s="16" t="s">
        <v>67</v>
      </c>
      <c r="D15" s="17">
        <f>ROUND(7200000,2)</f>
        <v>7200000</v>
      </c>
      <c r="E15" s="17">
        <f t="shared" si="8"/>
        <v>0</v>
      </c>
      <c r="F15" s="17">
        <f t="shared" si="6"/>
        <v>0</v>
      </c>
      <c r="G15" s="17">
        <f t="shared" si="1"/>
        <v>0</v>
      </c>
      <c r="H15" s="17">
        <f>ROUND(7200000,2)</f>
        <v>7200000</v>
      </c>
      <c r="I15" s="17">
        <f t="shared" si="9"/>
        <v>0</v>
      </c>
      <c r="J15" s="17">
        <f>ROUND(7200000,2)</f>
        <v>7200000</v>
      </c>
      <c r="K15" s="17">
        <f t="shared" si="10"/>
        <v>0</v>
      </c>
      <c r="L15" s="17">
        <f t="shared" si="7"/>
        <v>0</v>
      </c>
      <c r="M15" s="17">
        <f t="shared" si="4"/>
        <v>0</v>
      </c>
      <c r="N15" s="17">
        <f>ROUND(7200000,2)</f>
        <v>7200000</v>
      </c>
      <c r="O15" s="17">
        <f t="shared" si="11"/>
        <v>0</v>
      </c>
    </row>
    <row r="16" spans="1:15" ht="12.75">
      <c r="A16" s="15" t="s">
        <v>11</v>
      </c>
      <c r="B16" s="16" t="s">
        <v>100</v>
      </c>
      <c r="C16" s="16" t="s">
        <v>255</v>
      </c>
      <c r="D16" s="17">
        <f>ROUND(12123678,2)</f>
        <v>12123678</v>
      </c>
      <c r="E16" s="17">
        <f t="shared" si="8"/>
        <v>0</v>
      </c>
      <c r="F16" s="17">
        <f t="shared" si="6"/>
        <v>0</v>
      </c>
      <c r="G16" s="17">
        <f t="shared" si="1"/>
        <v>0</v>
      </c>
      <c r="H16" s="17">
        <f>ROUND(12123678,2)</f>
        <v>12123678</v>
      </c>
      <c r="I16" s="17">
        <f t="shared" si="9"/>
        <v>0</v>
      </c>
      <c r="J16" s="17">
        <f>ROUND(11978897,2)</f>
        <v>11978897</v>
      </c>
      <c r="K16" s="17">
        <f t="shared" si="10"/>
        <v>0</v>
      </c>
      <c r="L16" s="17">
        <f t="shared" si="7"/>
        <v>0</v>
      </c>
      <c r="M16" s="17">
        <f t="shared" si="4"/>
        <v>0</v>
      </c>
      <c r="N16" s="17">
        <f>ROUND(11978897,2)</f>
        <v>11978897</v>
      </c>
      <c r="O16" s="17">
        <f t="shared" si="11"/>
        <v>0</v>
      </c>
    </row>
    <row r="17" spans="1:15" ht="45.75">
      <c r="A17" s="15" t="s">
        <v>36</v>
      </c>
      <c r="B17" s="16" t="s">
        <v>1</v>
      </c>
      <c r="C17" s="16" t="s">
        <v>238</v>
      </c>
      <c r="D17" s="17">
        <f>ROUND(8388000,2)</f>
        <v>8388000</v>
      </c>
      <c r="E17" s="17">
        <f t="shared" si="8"/>
        <v>0</v>
      </c>
      <c r="F17" s="17">
        <f t="shared" si="6"/>
        <v>0</v>
      </c>
      <c r="G17" s="17">
        <f t="shared" si="1"/>
        <v>0</v>
      </c>
      <c r="H17" s="17">
        <f>ROUND(8388000,2)</f>
        <v>8388000</v>
      </c>
      <c r="I17" s="17">
        <f t="shared" si="9"/>
        <v>0</v>
      </c>
      <c r="J17" s="17">
        <f>ROUND(8388000,2)</f>
        <v>8388000</v>
      </c>
      <c r="K17" s="17">
        <f t="shared" si="10"/>
        <v>0</v>
      </c>
      <c r="L17" s="17">
        <f t="shared" si="7"/>
        <v>0</v>
      </c>
      <c r="M17" s="17">
        <f t="shared" si="4"/>
        <v>0</v>
      </c>
      <c r="N17" s="17">
        <f>ROUND(8388000,2)</f>
        <v>8388000</v>
      </c>
      <c r="O17" s="17">
        <f t="shared" si="11"/>
        <v>0</v>
      </c>
    </row>
    <row r="18" spans="1:15" ht="18.75">
      <c r="A18" s="15" t="s">
        <v>288</v>
      </c>
      <c r="B18" s="16" t="s">
        <v>160</v>
      </c>
      <c r="C18" s="16" t="s">
        <v>244</v>
      </c>
      <c r="D18" s="17">
        <f>ROUND(12530842.82,2)</f>
        <v>12530842.82</v>
      </c>
      <c r="E18" s="17">
        <f t="shared" si="8"/>
        <v>0</v>
      </c>
      <c r="F18" s="17">
        <f t="shared" si="6"/>
        <v>0</v>
      </c>
      <c r="G18" s="17">
        <f t="shared" si="1"/>
        <v>0</v>
      </c>
      <c r="H18" s="17">
        <f>ROUND(12530842.82,2)</f>
        <v>12530842.82</v>
      </c>
      <c r="I18" s="17">
        <f t="shared" si="9"/>
        <v>0</v>
      </c>
      <c r="J18" s="17">
        <f>ROUND(12530842.82,2)</f>
        <v>12530842.82</v>
      </c>
      <c r="K18" s="17">
        <f t="shared" si="10"/>
        <v>0</v>
      </c>
      <c r="L18" s="17">
        <f t="shared" si="7"/>
        <v>0</v>
      </c>
      <c r="M18" s="17">
        <f t="shared" si="4"/>
        <v>0</v>
      </c>
      <c r="N18" s="17">
        <f>ROUND(12530842.82,2)</f>
        <v>12530842.82</v>
      </c>
      <c r="O18" s="17">
        <f t="shared" si="11"/>
        <v>0</v>
      </c>
    </row>
    <row r="19" spans="1:15" ht="54.75">
      <c r="A19" s="15" t="s">
        <v>92</v>
      </c>
      <c r="B19" s="16" t="s">
        <v>119</v>
      </c>
      <c r="C19" s="16" t="s">
        <v>215</v>
      </c>
      <c r="D19" s="17">
        <f>ROUND(12354975,2)</f>
        <v>12354975</v>
      </c>
      <c r="E19" s="17">
        <f t="shared" si="8"/>
        <v>0</v>
      </c>
      <c r="F19" s="17">
        <f t="shared" si="6"/>
        <v>0</v>
      </c>
      <c r="G19" s="17">
        <f t="shared" si="1"/>
        <v>0</v>
      </c>
      <c r="H19" s="17">
        <f>ROUND(12354975,2)</f>
        <v>12354975</v>
      </c>
      <c r="I19" s="17">
        <f t="shared" si="9"/>
        <v>0</v>
      </c>
      <c r="J19" s="17">
        <f>ROUND(12354975,2)</f>
        <v>12354975</v>
      </c>
      <c r="K19" s="17">
        <f t="shared" si="10"/>
        <v>0</v>
      </c>
      <c r="L19" s="17">
        <f t="shared" si="7"/>
        <v>0</v>
      </c>
      <c r="M19" s="17">
        <f t="shared" si="4"/>
        <v>0</v>
      </c>
      <c r="N19" s="17">
        <f>ROUND(12354975,2)</f>
        <v>12354975</v>
      </c>
      <c r="O19" s="17">
        <f t="shared" si="11"/>
        <v>0</v>
      </c>
    </row>
    <row r="20" spans="1:15" ht="99.75">
      <c r="A20" s="15" t="s">
        <v>294</v>
      </c>
      <c r="B20" s="16" t="s">
        <v>44</v>
      </c>
      <c r="C20" s="16" t="s">
        <v>4</v>
      </c>
      <c r="D20" s="17">
        <f>ROUND(9084613,2)</f>
        <v>9084613</v>
      </c>
      <c r="E20" s="17">
        <f t="shared" si="8"/>
        <v>0</v>
      </c>
      <c r="F20" s="17">
        <f t="shared" si="6"/>
        <v>0</v>
      </c>
      <c r="G20" s="17">
        <f t="shared" si="1"/>
        <v>0</v>
      </c>
      <c r="H20" s="17">
        <f>ROUND(9084613,2)</f>
        <v>9084613</v>
      </c>
      <c r="I20" s="17">
        <f t="shared" si="9"/>
        <v>0</v>
      </c>
      <c r="J20" s="17">
        <f>ROUND(9084613,2)</f>
        <v>9084613</v>
      </c>
      <c r="K20" s="17">
        <f t="shared" si="10"/>
        <v>0</v>
      </c>
      <c r="L20" s="17">
        <f t="shared" si="7"/>
        <v>0</v>
      </c>
      <c r="M20" s="17">
        <f t="shared" si="4"/>
        <v>0</v>
      </c>
      <c r="N20" s="17">
        <f>ROUND(9084613,2)</f>
        <v>9084613</v>
      </c>
      <c r="O20" s="17">
        <f t="shared" si="11"/>
        <v>0</v>
      </c>
    </row>
    <row r="21" spans="1:15" ht="36.75">
      <c r="A21" s="15" t="s">
        <v>109</v>
      </c>
      <c r="B21" s="16" t="s">
        <v>86</v>
      </c>
      <c r="C21" s="16" t="s">
        <v>254</v>
      </c>
      <c r="D21" s="17">
        <f>ROUND(9084613,2)</f>
        <v>9084613</v>
      </c>
      <c r="E21" s="17">
        <f t="shared" si="8"/>
        <v>0</v>
      </c>
      <c r="F21" s="17">
        <f t="shared" si="6"/>
        <v>0</v>
      </c>
      <c r="G21" s="17">
        <f t="shared" si="1"/>
        <v>0</v>
      </c>
      <c r="H21" s="17">
        <f>ROUND(9084613,2)</f>
        <v>9084613</v>
      </c>
      <c r="I21" s="17">
        <f t="shared" si="9"/>
        <v>0</v>
      </c>
      <c r="J21" s="17">
        <f>ROUND(9084613,2)</f>
        <v>9084613</v>
      </c>
      <c r="K21" s="17">
        <f t="shared" si="10"/>
        <v>0</v>
      </c>
      <c r="L21" s="17">
        <f t="shared" si="7"/>
        <v>0</v>
      </c>
      <c r="M21" s="17">
        <f t="shared" si="4"/>
        <v>0</v>
      </c>
      <c r="N21" s="17">
        <f>ROUND(9084613,2)</f>
        <v>9084613</v>
      </c>
      <c r="O21" s="17">
        <f t="shared" si="11"/>
        <v>0</v>
      </c>
    </row>
    <row r="22" spans="1:15" ht="81.75">
      <c r="A22" s="15" t="s">
        <v>50</v>
      </c>
      <c r="B22" s="16" t="s">
        <v>278</v>
      </c>
      <c r="C22" s="16" t="s">
        <v>168</v>
      </c>
      <c r="D22" s="17">
        <f>ROUND(3270362,2)</f>
        <v>3270362</v>
      </c>
      <c r="E22" s="17">
        <f t="shared" si="8"/>
        <v>0</v>
      </c>
      <c r="F22" s="17">
        <f t="shared" si="6"/>
        <v>0</v>
      </c>
      <c r="G22" s="17">
        <f t="shared" si="1"/>
        <v>0</v>
      </c>
      <c r="H22" s="17">
        <f>ROUND(3270362,2)</f>
        <v>3270362</v>
      </c>
      <c r="I22" s="17">
        <f t="shared" si="9"/>
        <v>0</v>
      </c>
      <c r="J22" s="17">
        <f>ROUND(3270362,2)</f>
        <v>3270362</v>
      </c>
      <c r="K22" s="17">
        <f t="shared" si="10"/>
        <v>0</v>
      </c>
      <c r="L22" s="17">
        <f t="shared" si="7"/>
        <v>0</v>
      </c>
      <c r="M22" s="17">
        <f t="shared" si="4"/>
        <v>0</v>
      </c>
      <c r="N22" s="17">
        <f>ROUND(3270362,2)</f>
        <v>3270362</v>
      </c>
      <c r="O22" s="17">
        <f t="shared" si="11"/>
        <v>0</v>
      </c>
    </row>
    <row r="23" spans="1:15" ht="36.75">
      <c r="A23" s="15" t="s">
        <v>218</v>
      </c>
      <c r="B23" s="16" t="s">
        <v>146</v>
      </c>
      <c r="C23" s="16" t="s">
        <v>254</v>
      </c>
      <c r="D23" s="17">
        <f>ROUND(3270362,2)</f>
        <v>3270362</v>
      </c>
      <c r="E23" s="17">
        <f t="shared" si="8"/>
        <v>0</v>
      </c>
      <c r="F23" s="17">
        <f t="shared" si="6"/>
        <v>0</v>
      </c>
      <c r="G23" s="17">
        <f t="shared" si="1"/>
        <v>0</v>
      </c>
      <c r="H23" s="17">
        <f>ROUND(3270362,2)</f>
        <v>3270362</v>
      </c>
      <c r="I23" s="17">
        <f t="shared" si="9"/>
        <v>0</v>
      </c>
      <c r="J23" s="17">
        <f>ROUND(3270362,2)</f>
        <v>3270362</v>
      </c>
      <c r="K23" s="17">
        <f t="shared" si="10"/>
        <v>0</v>
      </c>
      <c r="L23" s="17">
        <f t="shared" si="7"/>
        <v>0</v>
      </c>
      <c r="M23" s="17">
        <f t="shared" si="4"/>
        <v>0</v>
      </c>
      <c r="N23" s="17">
        <f>ROUND(3270362,2)</f>
        <v>3270362</v>
      </c>
      <c r="O23" s="17">
        <f t="shared" si="11"/>
        <v>0</v>
      </c>
    </row>
    <row r="24" spans="1:15" ht="18.75">
      <c r="A24" s="15" t="s">
        <v>191</v>
      </c>
      <c r="B24" s="16" t="s">
        <v>237</v>
      </c>
      <c r="C24" s="16" t="s">
        <v>60</v>
      </c>
      <c r="D24" s="17">
        <f>ROUND(3859348.25,2)</f>
        <v>3859348.25</v>
      </c>
      <c r="E24" s="17">
        <f>ROUND(1167900,2)</f>
        <v>1167900</v>
      </c>
      <c r="F24" s="17">
        <f t="shared" si="6"/>
        <v>0</v>
      </c>
      <c r="G24" s="17">
        <f t="shared" si="1"/>
        <v>0</v>
      </c>
      <c r="H24" s="17">
        <f>ROUND(3859348.25,2)</f>
        <v>3859348.25</v>
      </c>
      <c r="I24" s="17">
        <f>ROUND(1167900,2)</f>
        <v>1167900</v>
      </c>
      <c r="J24" s="17">
        <f>ROUND(3859348.25,2)</f>
        <v>3859348.25</v>
      </c>
      <c r="K24" s="17">
        <f>ROUND(1167900,2)</f>
        <v>1167900</v>
      </c>
      <c r="L24" s="17">
        <f t="shared" si="7"/>
        <v>0</v>
      </c>
      <c r="M24" s="17">
        <f t="shared" si="4"/>
        <v>0</v>
      </c>
      <c r="N24" s="17">
        <f>ROUND(3859348.25,2)</f>
        <v>3859348.25</v>
      </c>
      <c r="O24" s="17">
        <f>ROUND(1167900,2)</f>
        <v>1167900</v>
      </c>
    </row>
    <row r="25" spans="1:15" ht="12.75">
      <c r="A25" s="15" t="s">
        <v>298</v>
      </c>
      <c r="B25" s="16" t="s">
        <v>181</v>
      </c>
      <c r="C25" s="16" t="s">
        <v>232</v>
      </c>
      <c r="D25" s="17">
        <f>ROUND(28229835.74,2)</f>
        <v>28229835.74</v>
      </c>
      <c r="E25" s="17">
        <f>ROUND(0,2)</f>
        <v>0</v>
      </c>
      <c r="F25" s="17">
        <f>ROUND(8489425,2)</f>
        <v>8489425</v>
      </c>
      <c r="G25" s="17">
        <f t="shared" si="1"/>
        <v>0</v>
      </c>
      <c r="H25" s="17">
        <f>ROUND(19740410.74,2)</f>
        <v>19740410.74</v>
      </c>
      <c r="I25" s="17">
        <f>ROUND(0,2)</f>
        <v>0</v>
      </c>
      <c r="J25" s="17">
        <f>ROUND(28229835.74,2)</f>
        <v>28229835.74</v>
      </c>
      <c r="K25" s="17">
        <f>ROUND(0,2)</f>
        <v>0</v>
      </c>
      <c r="L25" s="17">
        <f>ROUND(8489425,2)</f>
        <v>8489425</v>
      </c>
      <c r="M25" s="17">
        <f t="shared" si="4"/>
        <v>0</v>
      </c>
      <c r="N25" s="17">
        <f>ROUND(19740410.74,2)</f>
        <v>19740410.74</v>
      </c>
      <c r="O25" s="17">
        <f>ROUND(0,2)</f>
        <v>0</v>
      </c>
    </row>
    <row r="26" spans="1:15" ht="36.75">
      <c r="A26" s="15" t="s">
        <v>152</v>
      </c>
      <c r="B26" s="16" t="s">
        <v>304</v>
      </c>
      <c r="C26" s="16" t="s">
        <v>195</v>
      </c>
      <c r="D26" s="17">
        <f>ROUND(15560147.47,2)</f>
        <v>15560147.47</v>
      </c>
      <c r="E26" s="17">
        <f>ROUND(0,2)</f>
        <v>0</v>
      </c>
      <c r="F26" s="17">
        <f>ROUND(0,2)</f>
        <v>0</v>
      </c>
      <c r="G26" s="17">
        <f t="shared" si="1"/>
        <v>0</v>
      </c>
      <c r="H26" s="17">
        <f>ROUND(15560147.47,2)</f>
        <v>15560147.47</v>
      </c>
      <c r="I26" s="17">
        <f>ROUND(0,2)</f>
        <v>0</v>
      </c>
      <c r="J26" s="17">
        <f>ROUND(15560147.47,2)</f>
        <v>15560147.47</v>
      </c>
      <c r="K26" s="17">
        <f>ROUND(0,2)</f>
        <v>0</v>
      </c>
      <c r="L26" s="17">
        <f>ROUND(0,2)</f>
        <v>0</v>
      </c>
      <c r="M26" s="17">
        <f t="shared" si="4"/>
        <v>0</v>
      </c>
      <c r="N26" s="17">
        <f>ROUND(15560147.47,2)</f>
        <v>15560147.47</v>
      </c>
      <c r="O26" s="17">
        <f>ROUND(0,2)</f>
        <v>0</v>
      </c>
    </row>
    <row r="27" spans="1:15" ht="18.75">
      <c r="A27" s="15" t="s">
        <v>77</v>
      </c>
      <c r="B27" s="16" t="s">
        <v>26</v>
      </c>
      <c r="C27" s="16" t="s">
        <v>70</v>
      </c>
      <c r="D27" s="17">
        <f>ROUND(34858570.06,2)</f>
        <v>34858570.06</v>
      </c>
      <c r="E27" s="17">
        <f>ROUND(18520938,2)</f>
        <v>18520938</v>
      </c>
      <c r="F27" s="17">
        <f>ROUND(31418985.66,2)</f>
        <v>31418985.66</v>
      </c>
      <c r="G27" s="17">
        <f>ROUND(16752167.85,2)</f>
        <v>16752167.85</v>
      </c>
      <c r="H27" s="17">
        <f>ROUND(3439584.4,2)</f>
        <v>3439584.4</v>
      </c>
      <c r="I27" s="17">
        <f>ROUND(1768770.15,2)</f>
        <v>1768770.15</v>
      </c>
      <c r="J27" s="17">
        <f>ROUND(34787353.7,2)</f>
        <v>34787353.7</v>
      </c>
      <c r="K27" s="17">
        <f>ROUND(18449721.64,2)</f>
        <v>18449721.64</v>
      </c>
      <c r="L27" s="17">
        <f>ROUND(31347769.3,2)</f>
        <v>31347769.3</v>
      </c>
      <c r="M27" s="17">
        <f>ROUND(16680951.49,2)</f>
        <v>16680951.49</v>
      </c>
      <c r="N27" s="17">
        <f>ROUND(3439584.4,2)</f>
        <v>3439584.4</v>
      </c>
      <c r="O27" s="17">
        <f>ROUND(1768770.15,2)</f>
        <v>1768770.15</v>
      </c>
    </row>
    <row r="28" spans="1:15" ht="36.75">
      <c r="A28" s="15" t="s">
        <v>186</v>
      </c>
      <c r="B28" s="16" t="s">
        <v>91</v>
      </c>
      <c r="C28" s="16" t="s">
        <v>20</v>
      </c>
      <c r="D28" s="17">
        <f>ROUND(16337632.06,2)</f>
        <v>16337632.06</v>
      </c>
      <c r="E28" s="17">
        <f>ROUND(0,2)</f>
        <v>0</v>
      </c>
      <c r="F28" s="17">
        <f>ROUND(14666817.81,2)</f>
        <v>14666817.81</v>
      </c>
      <c r="G28" s="17">
        <f>ROUND(0,2)</f>
        <v>0</v>
      </c>
      <c r="H28" s="17">
        <f>ROUND(1670814.25,2)</f>
        <v>1670814.25</v>
      </c>
      <c r="I28" s="17">
        <f>ROUND(0,2)</f>
        <v>0</v>
      </c>
      <c r="J28" s="17">
        <f>ROUND(16337632.06,2)</f>
        <v>16337632.06</v>
      </c>
      <c r="K28" s="17">
        <f>ROUND(0,2)</f>
        <v>0</v>
      </c>
      <c r="L28" s="17">
        <f>ROUND(14666817.81,2)</f>
        <v>14666817.81</v>
      </c>
      <c r="M28" s="17">
        <f>ROUND(0,2)</f>
        <v>0</v>
      </c>
      <c r="N28" s="17">
        <f>ROUND(1670814.25,2)</f>
        <v>1670814.25</v>
      </c>
      <c r="O28" s="17">
        <f>ROUND(0,2)</f>
        <v>0</v>
      </c>
    </row>
    <row r="29" spans="1:15" ht="36.75">
      <c r="A29" s="15" t="s">
        <v>38</v>
      </c>
      <c r="B29" s="16" t="s">
        <v>193</v>
      </c>
      <c r="C29" s="16" t="s">
        <v>188</v>
      </c>
      <c r="D29" s="17">
        <f>ROUND(15945938,2)</f>
        <v>15945938</v>
      </c>
      <c r="E29" s="17">
        <f>ROUND(15945938,2)</f>
        <v>15945938</v>
      </c>
      <c r="F29" s="17">
        <f>ROUND(14177167.85,2)</f>
        <v>14177167.85</v>
      </c>
      <c r="G29" s="17">
        <f>ROUND(14177167.85,2)</f>
        <v>14177167.85</v>
      </c>
      <c r="H29" s="17">
        <f>ROUND(1768770.15,2)</f>
        <v>1768770.15</v>
      </c>
      <c r="I29" s="17">
        <f>ROUND(1768770.15,2)</f>
        <v>1768770.15</v>
      </c>
      <c r="J29" s="17">
        <f>ROUND(15945938,2)</f>
        <v>15945938</v>
      </c>
      <c r="K29" s="17">
        <f>ROUND(15945938,2)</f>
        <v>15945938</v>
      </c>
      <c r="L29" s="17">
        <f>ROUND(14177167.85,2)</f>
        <v>14177167.85</v>
      </c>
      <c r="M29" s="17">
        <f>ROUND(14177167.85,2)</f>
        <v>14177167.85</v>
      </c>
      <c r="N29" s="17">
        <f>ROUND(1768770.15,2)</f>
        <v>1768770.15</v>
      </c>
      <c r="O29" s="17">
        <f>ROUND(1768770.15,2)</f>
        <v>1768770.15</v>
      </c>
    </row>
    <row r="30" spans="1:15" ht="12.75">
      <c r="A30" s="15" t="s">
        <v>211</v>
      </c>
      <c r="B30" s="16" t="s">
        <v>61</v>
      </c>
      <c r="C30" s="16" t="s">
        <v>225</v>
      </c>
      <c r="D30" s="17">
        <f>ROUND(2920576.78,2)</f>
        <v>2920576.78</v>
      </c>
      <c r="E30" s="17">
        <f>ROUND(2920576.78,2)</f>
        <v>2920576.78</v>
      </c>
      <c r="F30" s="17">
        <f>ROUND(2367950.78,2)</f>
        <v>2367950.78</v>
      </c>
      <c r="G30" s="17">
        <f>ROUND(2367950.78,2)</f>
        <v>2367950.78</v>
      </c>
      <c r="H30" s="17">
        <f>ROUND(552626,2)</f>
        <v>552626</v>
      </c>
      <c r="I30" s="17">
        <f>ROUND(552626,2)</f>
        <v>552626</v>
      </c>
      <c r="J30" s="17">
        <f>ROUND(2920576.78,2)</f>
        <v>2920576.78</v>
      </c>
      <c r="K30" s="17">
        <f>ROUND(2920576.78,2)</f>
        <v>2920576.78</v>
      </c>
      <c r="L30" s="17">
        <f>ROUND(2367950.78,2)</f>
        <v>2367950.78</v>
      </c>
      <c r="M30" s="17">
        <f>ROUND(2367950.78,2)</f>
        <v>2367950.78</v>
      </c>
      <c r="N30" s="17">
        <f>ROUND(552626,2)</f>
        <v>552626</v>
      </c>
      <c r="O30" s="17">
        <f>ROUND(552626,2)</f>
        <v>552626</v>
      </c>
    </row>
    <row r="31" spans="1:15" ht="18.75">
      <c r="A31" s="15" t="s">
        <v>242</v>
      </c>
      <c r="B31" s="16" t="s">
        <v>106</v>
      </c>
      <c r="C31" s="16" t="s">
        <v>151</v>
      </c>
      <c r="D31" s="17">
        <f>ROUND(900000,2)</f>
        <v>900000</v>
      </c>
      <c r="E31" s="17">
        <f>ROUND(900000,2)</f>
        <v>900000</v>
      </c>
      <c r="F31" s="17">
        <f>ROUND(656565,2)</f>
        <v>656565</v>
      </c>
      <c r="G31" s="17">
        <f>ROUND(656565,2)</f>
        <v>656565</v>
      </c>
      <c r="H31" s="17">
        <f>ROUND(243435,2)</f>
        <v>243435</v>
      </c>
      <c r="I31" s="17">
        <f>ROUND(243435,2)</f>
        <v>243435</v>
      </c>
      <c r="J31" s="17">
        <f>ROUND(900000,2)</f>
        <v>900000</v>
      </c>
      <c r="K31" s="17">
        <f>ROUND(900000,2)</f>
        <v>900000</v>
      </c>
      <c r="L31" s="17">
        <f>ROUND(656565,2)</f>
        <v>656565</v>
      </c>
      <c r="M31" s="17">
        <f>ROUND(656565,2)</f>
        <v>656565</v>
      </c>
      <c r="N31" s="17">
        <f>ROUND(243435,2)</f>
        <v>243435</v>
      </c>
      <c r="O31" s="17">
        <f>ROUND(243435,2)</f>
        <v>243435</v>
      </c>
    </row>
    <row r="32" spans="1:15" ht="18.75">
      <c r="A32" s="15" t="s">
        <v>95</v>
      </c>
      <c r="B32" s="16" t="s">
        <v>134</v>
      </c>
      <c r="C32" s="16" t="s">
        <v>39</v>
      </c>
      <c r="D32" s="17">
        <f>ROUND(2938639.08,2)</f>
        <v>2938639.08</v>
      </c>
      <c r="E32" s="17">
        <f>ROUND(2938639.08,2)</f>
        <v>2938639.08</v>
      </c>
      <c r="F32" s="17">
        <f>ROUND(2896947.04,2)</f>
        <v>2896947.04</v>
      </c>
      <c r="G32" s="17">
        <f>ROUND(2896947.04,2)</f>
        <v>2896947.04</v>
      </c>
      <c r="H32" s="17">
        <f>ROUND(41692.04,2)</f>
        <v>41692.04</v>
      </c>
      <c r="I32" s="17">
        <f>ROUND(41692.04,2)</f>
        <v>41692.04</v>
      </c>
      <c r="J32" s="17">
        <f>ROUND(2938639.08,2)</f>
        <v>2938639.08</v>
      </c>
      <c r="K32" s="17">
        <f>ROUND(2938639.08,2)</f>
        <v>2938639.08</v>
      </c>
      <c r="L32" s="17">
        <f>ROUND(2896947.04,2)</f>
        <v>2896947.04</v>
      </c>
      <c r="M32" s="17">
        <f>ROUND(2896947.04,2)</f>
        <v>2896947.04</v>
      </c>
      <c r="N32" s="17">
        <f>ROUND(41692.04,2)</f>
        <v>41692.04</v>
      </c>
      <c r="O32" s="17">
        <f>ROUND(41692.04,2)</f>
        <v>41692.04</v>
      </c>
    </row>
    <row r="33" spans="1:15" ht="54.75">
      <c r="A33" s="15" t="s">
        <v>280</v>
      </c>
      <c r="B33" s="16" t="s">
        <v>286</v>
      </c>
      <c r="C33" s="16" t="s">
        <v>123</v>
      </c>
      <c r="D33" s="17">
        <f>ROUND(690950,2)</f>
        <v>690950</v>
      </c>
      <c r="E33" s="17">
        <f>ROUND(690950,2)</f>
        <v>690950</v>
      </c>
      <c r="F33" s="17">
        <f>ROUND(603145,2)</f>
        <v>603145</v>
      </c>
      <c r="G33" s="17">
        <f>ROUND(603145,2)</f>
        <v>603145</v>
      </c>
      <c r="H33" s="17">
        <f>ROUND(87805,2)</f>
        <v>87805</v>
      </c>
      <c r="I33" s="17">
        <f>ROUND(87805,2)</f>
        <v>87805</v>
      </c>
      <c r="J33" s="17">
        <f>ROUND(690950,2)</f>
        <v>690950</v>
      </c>
      <c r="K33" s="17">
        <f>ROUND(690950,2)</f>
        <v>690950</v>
      </c>
      <c r="L33" s="17">
        <f>ROUND(603145,2)</f>
        <v>603145</v>
      </c>
      <c r="M33" s="17">
        <f>ROUND(603145,2)</f>
        <v>603145</v>
      </c>
      <c r="N33" s="17">
        <f>ROUND(87805,2)</f>
        <v>87805</v>
      </c>
      <c r="O33" s="17">
        <f>ROUND(87805,2)</f>
        <v>87805</v>
      </c>
    </row>
    <row r="34" spans="1:15" ht="18.75">
      <c r="A34" s="15" t="s">
        <v>263</v>
      </c>
      <c r="B34" s="16" t="s">
        <v>142</v>
      </c>
      <c r="C34" s="16" t="s">
        <v>163</v>
      </c>
      <c r="D34" s="17">
        <f>ROUND(676680,2)</f>
        <v>676680</v>
      </c>
      <c r="E34" s="17">
        <f>ROUND(676680,2)</f>
        <v>676680</v>
      </c>
      <c r="F34" s="17">
        <f>ROUND(669680,2)</f>
        <v>669680</v>
      </c>
      <c r="G34" s="17">
        <f>ROUND(669680,2)</f>
        <v>669680</v>
      </c>
      <c r="H34" s="17">
        <f>ROUND(7000,2)</f>
        <v>7000</v>
      </c>
      <c r="I34" s="17">
        <f>ROUND(7000,2)</f>
        <v>7000</v>
      </c>
      <c r="J34" s="17">
        <f>ROUND(676680,2)</f>
        <v>676680</v>
      </c>
      <c r="K34" s="17">
        <f>ROUND(676680,2)</f>
        <v>676680</v>
      </c>
      <c r="L34" s="17">
        <f>ROUND(669680,2)</f>
        <v>669680</v>
      </c>
      <c r="M34" s="17">
        <f>ROUND(669680,2)</f>
        <v>669680</v>
      </c>
      <c r="N34" s="17">
        <f>ROUND(7000,2)</f>
        <v>7000</v>
      </c>
      <c r="O34" s="17">
        <f>ROUND(7000,2)</f>
        <v>7000</v>
      </c>
    </row>
    <row r="35" spans="1:15" ht="36.75">
      <c r="A35" s="15" t="s">
        <v>89</v>
      </c>
      <c r="B35" s="16" t="s">
        <v>25</v>
      </c>
      <c r="C35" s="16" t="s">
        <v>14</v>
      </c>
      <c r="D35" s="17">
        <f>ROUND(7447080.1,2)</f>
        <v>7447080.1</v>
      </c>
      <c r="E35" s="17">
        <f>ROUND(7447080.1,2)</f>
        <v>7447080.1</v>
      </c>
      <c r="F35" s="17">
        <f>ROUND(6982880.03,2)</f>
        <v>6982880.03</v>
      </c>
      <c r="G35" s="17">
        <f>ROUND(6982880.03,2)</f>
        <v>6982880.03</v>
      </c>
      <c r="H35" s="17">
        <f>ROUND(464200.07,2)</f>
        <v>464200.07</v>
      </c>
      <c r="I35" s="17">
        <f>ROUND(464200.07,2)</f>
        <v>464200.07</v>
      </c>
      <c r="J35" s="17">
        <f>ROUND(7447080.1,2)</f>
        <v>7447080.1</v>
      </c>
      <c r="K35" s="17">
        <f>ROUND(7447080.1,2)</f>
        <v>7447080.1</v>
      </c>
      <c r="L35" s="17">
        <f>ROUND(6982880.03,2)</f>
        <v>6982880.03</v>
      </c>
      <c r="M35" s="17">
        <f>ROUND(6982880.03,2)</f>
        <v>6982880.03</v>
      </c>
      <c r="N35" s="17">
        <f>ROUND(464200.07,2)</f>
        <v>464200.07</v>
      </c>
      <c r="O35" s="17">
        <f>ROUND(464200.07,2)</f>
        <v>464200.07</v>
      </c>
    </row>
    <row r="36" spans="1:15" ht="27.75">
      <c r="A36" s="15" t="s">
        <v>289</v>
      </c>
      <c r="B36" s="16" t="s">
        <v>115</v>
      </c>
      <c r="C36" s="16" t="s">
        <v>240</v>
      </c>
      <c r="D36" s="17">
        <f>ROUND(2575000,2)</f>
        <v>2575000</v>
      </c>
      <c r="E36" s="17">
        <f>ROUND(2575000,2)</f>
        <v>2575000</v>
      </c>
      <c r="F36" s="17">
        <f>ROUND(2575000,2)</f>
        <v>2575000</v>
      </c>
      <c r="G36" s="17">
        <f>ROUND(2575000,2)</f>
        <v>2575000</v>
      </c>
      <c r="H36" s="17">
        <f>ROUND(0,2)</f>
        <v>0</v>
      </c>
      <c r="I36" s="17">
        <f>ROUND(0,2)</f>
        <v>0</v>
      </c>
      <c r="J36" s="17">
        <f>ROUND(2503783.64,2)</f>
        <v>2503783.64</v>
      </c>
      <c r="K36" s="17">
        <f>ROUND(2503783.64,2)</f>
        <v>2503783.64</v>
      </c>
      <c r="L36" s="17">
        <f>ROUND(2503783.64,2)</f>
        <v>2503783.64</v>
      </c>
      <c r="M36" s="17">
        <f>ROUND(2503783.64,2)</f>
        <v>2503783.64</v>
      </c>
      <c r="N36" s="17">
        <f>ROUND(0,2)</f>
        <v>0</v>
      </c>
      <c r="O36" s="17">
        <f>ROUND(0,2)</f>
        <v>0</v>
      </c>
    </row>
    <row r="37" spans="1:15" ht="12.75">
      <c r="A37" s="15" t="s">
        <v>117</v>
      </c>
      <c r="B37" s="16" t="s">
        <v>80</v>
      </c>
      <c r="C37" s="16" t="s">
        <v>52</v>
      </c>
      <c r="D37" s="17">
        <f>ROUND(3642025,2)</f>
        <v>3642025</v>
      </c>
      <c r="E37" s="17">
        <f>ROUND(0,2)</f>
        <v>0</v>
      </c>
      <c r="F37" s="17">
        <f>ROUND(3518990,2)</f>
        <v>3518990</v>
      </c>
      <c r="G37" s="17">
        <f>ROUND(0,2)</f>
        <v>0</v>
      </c>
      <c r="H37" s="17">
        <f>ROUND(123035,2)</f>
        <v>123035</v>
      </c>
      <c r="I37" s="17">
        <f>ROUND(0,2)</f>
        <v>0</v>
      </c>
      <c r="J37" s="17">
        <f>ROUND(3642025,2)</f>
        <v>3642025</v>
      </c>
      <c r="K37" s="17">
        <f>ROUND(0,2)</f>
        <v>0</v>
      </c>
      <c r="L37" s="17">
        <f>ROUND(3518990,2)</f>
        <v>3518990</v>
      </c>
      <c r="M37" s="17">
        <f>ROUND(0,2)</f>
        <v>0</v>
      </c>
      <c r="N37" s="17">
        <f>ROUND(123035,2)</f>
        <v>123035</v>
      </c>
      <c r="O37" s="17">
        <f>ROUND(0,2)</f>
        <v>0</v>
      </c>
    </row>
    <row r="38" spans="1:15" ht="36.75">
      <c r="A38" s="15" t="s">
        <v>6</v>
      </c>
      <c r="B38" s="16" t="s">
        <v>183</v>
      </c>
      <c r="C38" s="16" t="s">
        <v>10</v>
      </c>
      <c r="D38" s="17">
        <f>ROUND(3642025,2)</f>
        <v>3642025</v>
      </c>
      <c r="E38" s="17">
        <f>ROUND(0,2)</f>
        <v>0</v>
      </c>
      <c r="F38" s="17">
        <f>ROUND(3518990,2)</f>
        <v>3518990</v>
      </c>
      <c r="G38" s="17">
        <f>ROUND(0,2)</f>
        <v>0</v>
      </c>
      <c r="H38" s="17">
        <f>ROUND(123035,2)</f>
        <v>123035</v>
      </c>
      <c r="I38" s="17">
        <f>ROUND(0,2)</f>
        <v>0</v>
      </c>
      <c r="J38" s="17">
        <f>ROUND(3642025,2)</f>
        <v>3642025</v>
      </c>
      <c r="K38" s="17">
        <f>ROUND(0,2)</f>
        <v>0</v>
      </c>
      <c r="L38" s="17">
        <f>ROUND(3518990,2)</f>
        <v>3518990</v>
      </c>
      <c r="M38" s="17">
        <f>ROUND(0,2)</f>
        <v>0</v>
      </c>
      <c r="N38" s="17">
        <f>ROUND(123035,2)</f>
        <v>123035</v>
      </c>
      <c r="O38" s="17">
        <f>ROUND(0,2)</f>
        <v>0</v>
      </c>
    </row>
    <row r="39" spans="1:15" ht="18.75">
      <c r="A39" s="15" t="s">
        <v>43</v>
      </c>
      <c r="B39" s="16" t="s">
        <v>162</v>
      </c>
      <c r="C39" s="16" t="s">
        <v>153</v>
      </c>
      <c r="D39" s="17">
        <f>ROUND(146281,2)</f>
        <v>146281</v>
      </c>
      <c r="E39" s="17">
        <f>ROUND(146200,2)</f>
        <v>146200</v>
      </c>
      <c r="F39" s="17">
        <f>ROUND(0,2)</f>
        <v>0</v>
      </c>
      <c r="G39" s="17">
        <f>ROUND(0,2)</f>
        <v>0</v>
      </c>
      <c r="H39" s="17">
        <f>ROUND(146281,2)</f>
        <v>146281</v>
      </c>
      <c r="I39" s="17">
        <f>ROUND(146200,2)</f>
        <v>146200</v>
      </c>
      <c r="J39" s="17">
        <f>ROUND(146280.97,2)</f>
        <v>146280.97</v>
      </c>
      <c r="K39" s="17">
        <f>ROUND(146200,2)</f>
        <v>146200</v>
      </c>
      <c r="L39" s="17">
        <f>ROUND(0,2)</f>
        <v>0</v>
      </c>
      <c r="M39" s="17">
        <f>ROUND(0,2)</f>
        <v>0</v>
      </c>
      <c r="N39" s="17">
        <f>ROUND(146280.97,2)</f>
        <v>146280.97</v>
      </c>
      <c r="O39" s="17">
        <f>ROUND(146200,2)</f>
        <v>146200</v>
      </c>
    </row>
    <row r="40" spans="1:15" ht="54.75">
      <c r="A40" s="15" t="s">
        <v>223</v>
      </c>
      <c r="B40" s="16" t="s">
        <v>180</v>
      </c>
      <c r="C40" s="16" t="s">
        <v>112</v>
      </c>
      <c r="D40" s="17">
        <f>ROUND(146281,2)</f>
        <v>146281</v>
      </c>
      <c r="E40" s="17">
        <f>ROUND(146200,2)</f>
        <v>146200</v>
      </c>
      <c r="F40" s="17">
        <f>ROUND(0,2)</f>
        <v>0</v>
      </c>
      <c r="G40" s="17">
        <f>ROUND(0,2)</f>
        <v>0</v>
      </c>
      <c r="H40" s="17">
        <f>ROUND(146281,2)</f>
        <v>146281</v>
      </c>
      <c r="I40" s="17">
        <f>ROUND(146200,2)</f>
        <v>146200</v>
      </c>
      <c r="J40" s="17">
        <f>ROUND(146280.97,2)</f>
        <v>146280.97</v>
      </c>
      <c r="K40" s="17">
        <f>ROUND(146200,2)</f>
        <v>146200</v>
      </c>
      <c r="L40" s="17">
        <f>ROUND(0,2)</f>
        <v>0</v>
      </c>
      <c r="M40" s="17">
        <f>ROUND(0,2)</f>
        <v>0</v>
      </c>
      <c r="N40" s="17">
        <f>ROUND(146280.97,2)</f>
        <v>146280.97</v>
      </c>
      <c r="O40" s="17">
        <f>ROUND(146200,2)</f>
        <v>146200</v>
      </c>
    </row>
    <row r="41" spans="1:15" ht="63.75">
      <c r="A41" s="15" t="s">
        <v>197</v>
      </c>
      <c r="B41" s="16" t="s">
        <v>182</v>
      </c>
      <c r="C41" s="16" t="s">
        <v>55</v>
      </c>
      <c r="D41" s="17">
        <f>ROUND(2730000,2)</f>
        <v>2730000</v>
      </c>
      <c r="E41" s="17">
        <f>ROUND(2730000,2)</f>
        <v>2730000</v>
      </c>
      <c r="F41" s="17">
        <f>ROUND(2730000,2)</f>
        <v>2730000</v>
      </c>
      <c r="G41" s="17">
        <f>ROUND(2730000,2)</f>
        <v>2730000</v>
      </c>
      <c r="H41" s="17">
        <f>ROUND(0,2)</f>
        <v>0</v>
      </c>
      <c r="I41" s="17">
        <f>ROUND(0,2)</f>
        <v>0</v>
      </c>
      <c r="J41" s="17">
        <f>ROUND(2380192.62,2)</f>
        <v>2380192.62</v>
      </c>
      <c r="K41" s="17">
        <f>ROUND(2380192.62,2)</f>
        <v>2380192.62</v>
      </c>
      <c r="L41" s="17">
        <f>ROUND(2380192.62,2)</f>
        <v>2380192.62</v>
      </c>
      <c r="M41" s="17">
        <f>ROUND(2380192.62,2)</f>
        <v>2380192.62</v>
      </c>
      <c r="N41" s="17">
        <f>ROUND(0,2)</f>
        <v>0</v>
      </c>
      <c r="O41" s="17">
        <f>ROUND(0,2)</f>
        <v>0</v>
      </c>
    </row>
    <row r="42" spans="1:15" ht="12.75">
      <c r="A42" s="15" t="s">
        <v>194</v>
      </c>
      <c r="B42" s="16" t="s">
        <v>216</v>
      </c>
      <c r="C42" s="16" t="s">
        <v>82</v>
      </c>
      <c r="D42" s="17">
        <f>ROUND(29619403.87,2)</f>
        <v>29619403.87</v>
      </c>
      <c r="E42" s="17">
        <f>ROUND(5140006.25,2)</f>
        <v>5140006.25</v>
      </c>
      <c r="F42" s="17">
        <f>ROUND(26954711.66,2)</f>
        <v>26954711.66</v>
      </c>
      <c r="G42" s="17">
        <f>ROUND(5140006.25,2)</f>
        <v>5140006.25</v>
      </c>
      <c r="H42" s="17">
        <f>ROUND(2664692.21,2)</f>
        <v>2664692.21</v>
      </c>
      <c r="I42" s="17">
        <f aca="true" t="shared" si="12" ref="I42:I54">ROUND(0,2)</f>
        <v>0</v>
      </c>
      <c r="J42" s="17">
        <f>ROUND(26617210.11,2)</f>
        <v>26617210.11</v>
      </c>
      <c r="K42" s="17">
        <f>ROUND(3409351.16,2)</f>
        <v>3409351.16</v>
      </c>
      <c r="L42" s="17">
        <f>ROUND(23952517.9,2)</f>
        <v>23952517.9</v>
      </c>
      <c r="M42" s="17">
        <f>ROUND(3409351.16,2)</f>
        <v>3409351.16</v>
      </c>
      <c r="N42" s="17">
        <f>ROUND(2664692.21,2)</f>
        <v>2664692.21</v>
      </c>
      <c r="O42" s="17">
        <f aca="true" t="shared" si="13" ref="O42:O54">ROUND(0,2)</f>
        <v>0</v>
      </c>
    </row>
    <row r="43" spans="1:15" ht="18.75">
      <c r="A43" s="15" t="s">
        <v>57</v>
      </c>
      <c r="B43" s="16" t="s">
        <v>210</v>
      </c>
      <c r="C43" s="16" t="s">
        <v>85</v>
      </c>
      <c r="D43" s="17">
        <f>ROUND(7125626.79,2)</f>
        <v>7125626.79</v>
      </c>
      <c r="E43" s="17">
        <f>ROUND(0,2)</f>
        <v>0</v>
      </c>
      <c r="F43" s="17">
        <f>ROUND(5202112.66,2)</f>
        <v>5202112.66</v>
      </c>
      <c r="G43" s="17">
        <f>ROUND(0,2)</f>
        <v>0</v>
      </c>
      <c r="H43" s="17">
        <f>ROUND(1923514.13,2)</f>
        <v>1923514.13</v>
      </c>
      <c r="I43" s="17">
        <f t="shared" si="12"/>
        <v>0</v>
      </c>
      <c r="J43" s="17">
        <f>ROUND(7125626.79,2)</f>
        <v>7125626.79</v>
      </c>
      <c r="K43" s="17">
        <f>ROUND(0,2)</f>
        <v>0</v>
      </c>
      <c r="L43" s="17">
        <f>ROUND(5202112.66,2)</f>
        <v>5202112.66</v>
      </c>
      <c r="M43" s="17">
        <f>ROUND(0,2)</f>
        <v>0</v>
      </c>
      <c r="N43" s="17">
        <f>ROUND(1923514.13,2)</f>
        <v>1923514.13</v>
      </c>
      <c r="O43" s="17">
        <f t="shared" si="13"/>
        <v>0</v>
      </c>
    </row>
    <row r="44" spans="1:15" ht="45.75">
      <c r="A44" s="15" t="s">
        <v>258</v>
      </c>
      <c r="B44" s="16" t="s">
        <v>88</v>
      </c>
      <c r="C44" s="16" t="s">
        <v>0</v>
      </c>
      <c r="D44" s="17">
        <f>ROUND(251800,2)</f>
        <v>251800</v>
      </c>
      <c r="E44" s="17">
        <f>ROUND(251800,2)</f>
        <v>251800</v>
      </c>
      <c r="F44" s="17">
        <f>ROUND(251800,2)</f>
        <v>251800</v>
      </c>
      <c r="G44" s="17">
        <f>ROUND(251800,2)</f>
        <v>251800</v>
      </c>
      <c r="H44" s="17">
        <f aca="true" t="shared" si="14" ref="H44:H54">ROUND(0,2)</f>
        <v>0</v>
      </c>
      <c r="I44" s="17">
        <f t="shared" si="12"/>
        <v>0</v>
      </c>
      <c r="J44" s="17">
        <f>ROUND(161269.16,2)</f>
        <v>161269.16</v>
      </c>
      <c r="K44" s="17">
        <f>ROUND(161269.16,2)</f>
        <v>161269.16</v>
      </c>
      <c r="L44" s="17">
        <f>ROUND(161269.16,2)</f>
        <v>161269.16</v>
      </c>
      <c r="M44" s="17">
        <f>ROUND(161269.16,2)</f>
        <v>161269.16</v>
      </c>
      <c r="N44" s="17">
        <f aca="true" t="shared" si="15" ref="N44:N54">ROUND(0,2)</f>
        <v>0</v>
      </c>
      <c r="O44" s="17">
        <f t="shared" si="13"/>
        <v>0</v>
      </c>
    </row>
    <row r="45" spans="1:15" ht="81.75">
      <c r="A45" s="15" t="s">
        <v>297</v>
      </c>
      <c r="B45" s="16" t="s">
        <v>266</v>
      </c>
      <c r="C45" s="16" t="s">
        <v>45</v>
      </c>
      <c r="D45" s="17">
        <f>ROUND(2173000,2)</f>
        <v>2173000</v>
      </c>
      <c r="E45" s="17">
        <f>ROUND(0,2)</f>
        <v>0</v>
      </c>
      <c r="F45" s="17">
        <f>ROUND(2173000,2)</f>
        <v>2173000</v>
      </c>
      <c r="G45" s="17">
        <f>ROUND(0,2)</f>
        <v>0</v>
      </c>
      <c r="H45" s="17">
        <f t="shared" si="14"/>
        <v>0</v>
      </c>
      <c r="I45" s="17">
        <f t="shared" si="12"/>
        <v>0</v>
      </c>
      <c r="J45" s="17">
        <f>ROUND(2112522.08,2)</f>
        <v>2112522.08</v>
      </c>
      <c r="K45" s="17">
        <f>ROUND(0,2)</f>
        <v>0</v>
      </c>
      <c r="L45" s="17">
        <f>ROUND(2112522.08,2)</f>
        <v>2112522.08</v>
      </c>
      <c r="M45" s="17">
        <f>ROUND(0,2)</f>
        <v>0</v>
      </c>
      <c r="N45" s="17">
        <f t="shared" si="15"/>
        <v>0</v>
      </c>
      <c r="O45" s="17">
        <f t="shared" si="13"/>
        <v>0</v>
      </c>
    </row>
    <row r="46" spans="1:15" ht="45.75">
      <c r="A46" s="15" t="s">
        <v>125</v>
      </c>
      <c r="B46" s="16" t="s">
        <v>236</v>
      </c>
      <c r="C46" s="16" t="s">
        <v>130</v>
      </c>
      <c r="D46" s="17">
        <f>ROUND(10813000,2)</f>
        <v>10813000</v>
      </c>
      <c r="E46" s="17">
        <f>ROUND(0,2)</f>
        <v>0</v>
      </c>
      <c r="F46" s="17">
        <f>ROUND(10813000,2)</f>
        <v>10813000</v>
      </c>
      <c r="G46" s="17">
        <f>ROUND(0,2)</f>
        <v>0</v>
      </c>
      <c r="H46" s="17">
        <f t="shared" si="14"/>
        <v>0</v>
      </c>
      <c r="I46" s="17">
        <f t="shared" si="12"/>
        <v>0</v>
      </c>
      <c r="J46" s="17">
        <f>ROUND(9681081.56,2)</f>
        <v>9681081.56</v>
      </c>
      <c r="K46" s="17">
        <f>ROUND(0,2)</f>
        <v>0</v>
      </c>
      <c r="L46" s="17">
        <f>ROUND(9681081.56,2)</f>
        <v>9681081.56</v>
      </c>
      <c r="M46" s="17">
        <f>ROUND(0,2)</f>
        <v>0</v>
      </c>
      <c r="N46" s="17">
        <f t="shared" si="15"/>
        <v>0</v>
      </c>
      <c r="O46" s="17">
        <f t="shared" si="13"/>
        <v>0</v>
      </c>
    </row>
    <row r="47" spans="1:15" ht="36.75">
      <c r="A47" s="15" t="s">
        <v>300</v>
      </c>
      <c r="B47" s="16" t="s">
        <v>99</v>
      </c>
      <c r="C47" s="16" t="s">
        <v>149</v>
      </c>
      <c r="D47" s="17">
        <f>ROUND(1629000,2)</f>
        <v>1629000</v>
      </c>
      <c r="E47" s="17">
        <f>ROUND(0,2)</f>
        <v>0</v>
      </c>
      <c r="F47" s="17">
        <f>ROUND(1629000,2)</f>
        <v>1629000</v>
      </c>
      <c r="G47" s="17">
        <f>ROUND(0,2)</f>
        <v>0</v>
      </c>
      <c r="H47" s="17">
        <f t="shared" si="14"/>
        <v>0</v>
      </c>
      <c r="I47" s="17">
        <f t="shared" si="12"/>
        <v>0</v>
      </c>
      <c r="J47" s="17">
        <f>ROUND(1570120,2)</f>
        <v>1570120</v>
      </c>
      <c r="K47" s="17">
        <f>ROUND(0,2)</f>
        <v>0</v>
      </c>
      <c r="L47" s="17">
        <f>ROUND(1570120,2)</f>
        <v>1570120</v>
      </c>
      <c r="M47" s="17">
        <f>ROUND(0,2)</f>
        <v>0</v>
      </c>
      <c r="N47" s="17">
        <f t="shared" si="15"/>
        <v>0</v>
      </c>
      <c r="O47" s="17">
        <f t="shared" si="13"/>
        <v>0</v>
      </c>
    </row>
    <row r="48" spans="1:15" ht="18.75">
      <c r="A48" s="15" t="s">
        <v>23</v>
      </c>
      <c r="B48" s="16" t="s">
        <v>202</v>
      </c>
      <c r="C48" s="16" t="s">
        <v>256</v>
      </c>
      <c r="D48" s="17">
        <f>ROUND(1728000,2)</f>
        <v>1728000</v>
      </c>
      <c r="E48" s="17">
        <f>ROUND(0,2)</f>
        <v>0</v>
      </c>
      <c r="F48" s="17">
        <f>ROUND(1728000,2)</f>
        <v>1728000</v>
      </c>
      <c r="G48" s="17">
        <f>ROUND(0,2)</f>
        <v>0</v>
      </c>
      <c r="H48" s="17">
        <f t="shared" si="14"/>
        <v>0</v>
      </c>
      <c r="I48" s="17">
        <f t="shared" si="12"/>
        <v>0</v>
      </c>
      <c r="J48" s="17">
        <f>ROUND(1662235.56,2)</f>
        <v>1662235.56</v>
      </c>
      <c r="K48" s="17">
        <f>ROUND(0,2)</f>
        <v>0</v>
      </c>
      <c r="L48" s="17">
        <f>ROUND(1662235.56,2)</f>
        <v>1662235.56</v>
      </c>
      <c r="M48" s="17">
        <f>ROUND(0,2)</f>
        <v>0</v>
      </c>
      <c r="N48" s="17">
        <f t="shared" si="15"/>
        <v>0</v>
      </c>
      <c r="O48" s="17">
        <f t="shared" si="13"/>
        <v>0</v>
      </c>
    </row>
    <row r="49" spans="1:15" ht="27.75">
      <c r="A49" s="15" t="s">
        <v>166</v>
      </c>
      <c r="B49" s="16" t="s">
        <v>76</v>
      </c>
      <c r="C49" s="16" t="s">
        <v>171</v>
      </c>
      <c r="D49" s="17">
        <f>ROUND(7456000,2)</f>
        <v>7456000</v>
      </c>
      <c r="E49" s="17">
        <f>ROUND(0,2)</f>
        <v>0</v>
      </c>
      <c r="F49" s="17">
        <f>ROUND(7456000,2)</f>
        <v>7456000</v>
      </c>
      <c r="G49" s="17">
        <f>ROUND(0,2)</f>
        <v>0</v>
      </c>
      <c r="H49" s="17">
        <f t="shared" si="14"/>
        <v>0</v>
      </c>
      <c r="I49" s="17">
        <f t="shared" si="12"/>
        <v>0</v>
      </c>
      <c r="J49" s="17">
        <f>ROUND(6448726,2)</f>
        <v>6448726</v>
      </c>
      <c r="K49" s="17">
        <f>ROUND(0,2)</f>
        <v>0</v>
      </c>
      <c r="L49" s="17">
        <f>ROUND(6448726,2)</f>
        <v>6448726</v>
      </c>
      <c r="M49" s="17">
        <f>ROUND(0,2)</f>
        <v>0</v>
      </c>
      <c r="N49" s="17">
        <f t="shared" si="15"/>
        <v>0</v>
      </c>
      <c r="O49" s="17">
        <f t="shared" si="13"/>
        <v>0</v>
      </c>
    </row>
    <row r="50" spans="1:15" ht="27.75">
      <c r="A50" s="15" t="s">
        <v>47</v>
      </c>
      <c r="B50" s="16" t="s">
        <v>114</v>
      </c>
      <c r="C50" s="16" t="s">
        <v>74</v>
      </c>
      <c r="D50" s="17">
        <f aca="true" t="shared" si="16" ref="D50:G51">ROUND(1116702,2)</f>
        <v>1116702</v>
      </c>
      <c r="E50" s="17">
        <f t="shared" si="16"/>
        <v>1116702</v>
      </c>
      <c r="F50" s="17">
        <f t="shared" si="16"/>
        <v>1116702</v>
      </c>
      <c r="G50" s="17">
        <f t="shared" si="16"/>
        <v>1116702</v>
      </c>
      <c r="H50" s="17">
        <f t="shared" si="14"/>
        <v>0</v>
      </c>
      <c r="I50" s="17">
        <f t="shared" si="12"/>
        <v>0</v>
      </c>
      <c r="J50" s="17">
        <f aca="true" t="shared" si="17" ref="J50:L51">ROUND(1116702,2)</f>
        <v>1116702</v>
      </c>
      <c r="K50" s="17">
        <f t="shared" si="17"/>
        <v>1116702</v>
      </c>
      <c r="L50" s="17">
        <f t="shared" si="17"/>
        <v>1116702</v>
      </c>
      <c r="M50" s="17">
        <f>ROUND(1116702,2)</f>
        <v>1116702</v>
      </c>
      <c r="N50" s="17">
        <f t="shared" si="15"/>
        <v>0</v>
      </c>
      <c r="O50" s="17">
        <f t="shared" si="13"/>
        <v>0</v>
      </c>
    </row>
    <row r="51" spans="1:15" ht="54.75">
      <c r="A51" s="15" t="s">
        <v>221</v>
      </c>
      <c r="B51" s="16" t="s">
        <v>291</v>
      </c>
      <c r="C51" s="16" t="s">
        <v>111</v>
      </c>
      <c r="D51" s="17">
        <f t="shared" si="16"/>
        <v>1116702</v>
      </c>
      <c r="E51" s="17">
        <f t="shared" si="16"/>
        <v>1116702</v>
      </c>
      <c r="F51" s="17">
        <f t="shared" si="16"/>
        <v>1116702</v>
      </c>
      <c r="G51" s="17">
        <f t="shared" si="16"/>
        <v>1116702</v>
      </c>
      <c r="H51" s="17">
        <f t="shared" si="14"/>
        <v>0</v>
      </c>
      <c r="I51" s="17">
        <f t="shared" si="12"/>
        <v>0</v>
      </c>
      <c r="J51" s="17">
        <f t="shared" si="17"/>
        <v>1116702</v>
      </c>
      <c r="K51" s="17">
        <f t="shared" si="17"/>
        <v>1116702</v>
      </c>
      <c r="L51" s="17">
        <f t="shared" si="17"/>
        <v>1116702</v>
      </c>
      <c r="M51" s="17">
        <f>ROUND(1116702,2)</f>
        <v>1116702</v>
      </c>
      <c r="N51" s="17">
        <f t="shared" si="15"/>
        <v>0</v>
      </c>
      <c r="O51" s="17">
        <f t="shared" si="13"/>
        <v>0</v>
      </c>
    </row>
    <row r="52" spans="1:15" ht="18.75">
      <c r="A52" s="15" t="s">
        <v>94</v>
      </c>
      <c r="B52" s="16" t="s">
        <v>303</v>
      </c>
      <c r="C52" s="16" t="s">
        <v>59</v>
      </c>
      <c r="D52" s="17">
        <f>ROUND(1304604.25,2)</f>
        <v>1304604.25</v>
      </c>
      <c r="E52" s="17">
        <f>ROUND(1304604.25,2)</f>
        <v>1304604.25</v>
      </c>
      <c r="F52" s="17">
        <f>ROUND(1304604.25,2)</f>
        <v>1304604.25</v>
      </c>
      <c r="G52" s="17">
        <f>ROUND(1304604.25,2)</f>
        <v>1304604.25</v>
      </c>
      <c r="H52" s="17">
        <f t="shared" si="14"/>
        <v>0</v>
      </c>
      <c r="I52" s="17">
        <f t="shared" si="12"/>
        <v>0</v>
      </c>
      <c r="J52" s="17">
        <f>ROUND(1230480,2)</f>
        <v>1230480</v>
      </c>
      <c r="K52" s="17">
        <f>ROUND(1230480,2)</f>
        <v>1230480</v>
      </c>
      <c r="L52" s="17">
        <f>ROUND(1230480,2)</f>
        <v>1230480</v>
      </c>
      <c r="M52" s="17">
        <f>ROUND(1230480,2)</f>
        <v>1230480</v>
      </c>
      <c r="N52" s="17">
        <f t="shared" si="15"/>
        <v>0</v>
      </c>
      <c r="O52" s="17">
        <f t="shared" si="13"/>
        <v>0</v>
      </c>
    </row>
    <row r="53" spans="1:15" ht="54.75">
      <c r="A53" s="15" t="s">
        <v>284</v>
      </c>
      <c r="B53" s="16" t="s">
        <v>132</v>
      </c>
      <c r="C53" s="16" t="s">
        <v>212</v>
      </c>
      <c r="D53" s="17">
        <f>ROUND(6671330,2)</f>
        <v>6671330</v>
      </c>
      <c r="E53" s="17">
        <f>ROUND(3771504.25,2)</f>
        <v>3771504.25</v>
      </c>
      <c r="F53" s="17">
        <f>ROUND(6671330,2)</f>
        <v>6671330</v>
      </c>
      <c r="G53" s="17">
        <f>ROUND(3771504.25,2)</f>
        <v>3771504.25</v>
      </c>
      <c r="H53" s="17">
        <f t="shared" si="14"/>
        <v>0</v>
      </c>
      <c r="I53" s="17">
        <f t="shared" si="12"/>
        <v>0</v>
      </c>
      <c r="J53" s="17">
        <f>ROUND(4886900,2)</f>
        <v>4886900</v>
      </c>
      <c r="K53" s="17">
        <f>ROUND(2131380,2)</f>
        <v>2131380</v>
      </c>
      <c r="L53" s="17">
        <f>ROUND(4886900,2)</f>
        <v>4886900</v>
      </c>
      <c r="M53" s="17">
        <f>ROUND(2131380,2)</f>
        <v>2131380</v>
      </c>
      <c r="N53" s="17">
        <f t="shared" si="15"/>
        <v>0</v>
      </c>
      <c r="O53" s="17">
        <f t="shared" si="13"/>
        <v>0</v>
      </c>
    </row>
    <row r="54" spans="1:15" ht="18.75">
      <c r="A54" s="15" t="s">
        <v>184</v>
      </c>
      <c r="B54" s="16" t="s">
        <v>30</v>
      </c>
      <c r="C54" s="16" t="s">
        <v>231</v>
      </c>
      <c r="D54" s="17">
        <f>ROUND(6671330,2)</f>
        <v>6671330</v>
      </c>
      <c r="E54" s="17">
        <f>ROUND(3771504.25,2)</f>
        <v>3771504.25</v>
      </c>
      <c r="F54" s="17">
        <f>ROUND(6671330,2)</f>
        <v>6671330</v>
      </c>
      <c r="G54" s="17">
        <f>ROUND(3771504.25,2)</f>
        <v>3771504.25</v>
      </c>
      <c r="H54" s="17">
        <f t="shared" si="14"/>
        <v>0</v>
      </c>
      <c r="I54" s="17">
        <f t="shared" si="12"/>
        <v>0</v>
      </c>
      <c r="J54" s="17">
        <f>ROUND(4886900,2)</f>
        <v>4886900</v>
      </c>
      <c r="K54" s="17">
        <f>ROUND(2131380,2)</f>
        <v>2131380</v>
      </c>
      <c r="L54" s="17">
        <f>ROUND(4886900,2)</f>
        <v>4886900</v>
      </c>
      <c r="M54" s="17">
        <f>ROUND(2131380,2)</f>
        <v>2131380</v>
      </c>
      <c r="N54" s="17">
        <f t="shared" si="15"/>
        <v>0</v>
      </c>
      <c r="O54" s="17">
        <f t="shared" si="13"/>
        <v>0</v>
      </c>
    </row>
    <row r="55" spans="1:15" ht="18.75">
      <c r="A55" s="15" t="s">
        <v>75</v>
      </c>
      <c r="B55" s="16" t="s">
        <v>262</v>
      </c>
      <c r="C55" s="16" t="s">
        <v>28</v>
      </c>
      <c r="D55" s="17">
        <f>ROUND(15837556.25,2)</f>
        <v>15837556.25</v>
      </c>
      <c r="E55" s="17">
        <f>ROUND(15837556.25,2)</f>
        <v>15837556.25</v>
      </c>
      <c r="F55" s="17">
        <f>ROUND(14669656.25,2)</f>
        <v>14669656.25</v>
      </c>
      <c r="G55" s="17">
        <f>ROUND(14669656.25,2)</f>
        <v>14669656.25</v>
      </c>
      <c r="H55" s="17">
        <f>ROUND(1167900,2)</f>
        <v>1167900</v>
      </c>
      <c r="I55" s="17">
        <f>ROUND(1167900,2)</f>
        <v>1167900</v>
      </c>
      <c r="J55" s="17">
        <f>ROUND(14197432,2)</f>
        <v>14197432</v>
      </c>
      <c r="K55" s="17">
        <f>ROUND(14197432,2)</f>
        <v>14197432</v>
      </c>
      <c r="L55" s="17">
        <f>ROUND(13029532,2)</f>
        <v>13029532</v>
      </c>
      <c r="M55" s="17">
        <f>ROUND(13029532,2)</f>
        <v>13029532</v>
      </c>
      <c r="N55" s="17">
        <f>ROUND(1167900,2)</f>
        <v>1167900</v>
      </c>
      <c r="O55" s="17">
        <f>ROUND(1167900,2)</f>
        <v>1167900</v>
      </c>
    </row>
    <row r="56" spans="1:15" ht="27.75">
      <c r="A56" s="15" t="s">
        <v>104</v>
      </c>
      <c r="B56" s="16" t="s">
        <v>228</v>
      </c>
      <c r="C56" s="16" t="s">
        <v>272</v>
      </c>
      <c r="D56" s="17">
        <f>ROUND(728577093.57,2)</f>
        <v>728577093.57</v>
      </c>
      <c r="E56" s="17">
        <f aca="true" t="shared" si="18" ref="E56:E87">ROUND(0,2)</f>
        <v>0</v>
      </c>
      <c r="F56" s="17">
        <f>ROUND(646563241.92,2)</f>
        <v>646563241.92</v>
      </c>
      <c r="G56" s="17">
        <f aca="true" t="shared" si="19" ref="G56:G87">ROUND(0,2)</f>
        <v>0</v>
      </c>
      <c r="H56" s="17">
        <f>ROUND(82013851.65,2)</f>
        <v>82013851.65</v>
      </c>
      <c r="I56" s="17">
        <f aca="true" t="shared" si="20" ref="I56:I87">ROUND(0,2)</f>
        <v>0</v>
      </c>
      <c r="J56" s="17">
        <f>ROUND(718883935.98,2)</f>
        <v>718883935.98</v>
      </c>
      <c r="K56" s="17">
        <f aca="true" t="shared" si="21" ref="K56:K62">ROUND(0,2)</f>
        <v>0</v>
      </c>
      <c r="L56" s="17">
        <f>ROUND(639889287.76,2)</f>
        <v>639889287.76</v>
      </c>
      <c r="M56" s="17">
        <f aca="true" t="shared" si="22" ref="M56:M62">ROUND(0,2)</f>
        <v>0</v>
      </c>
      <c r="N56" s="17">
        <f>ROUND(78994648.22,2)</f>
        <v>78994648.22</v>
      </c>
      <c r="O56" s="17">
        <f aca="true" t="shared" si="23" ref="O56:O64">ROUND(0,2)</f>
        <v>0</v>
      </c>
    </row>
    <row r="57" spans="1:15" ht="18.75">
      <c r="A57" s="15" t="s">
        <v>247</v>
      </c>
      <c r="B57" s="16" t="s">
        <v>101</v>
      </c>
      <c r="C57" s="16" t="s">
        <v>150</v>
      </c>
      <c r="D57" s="17">
        <f>ROUND(441210432.32,2)</f>
        <v>441210432.32</v>
      </c>
      <c r="E57" s="17">
        <f t="shared" si="18"/>
        <v>0</v>
      </c>
      <c r="F57" s="17">
        <f>ROUND(437557888.32,2)</f>
        <v>437557888.32</v>
      </c>
      <c r="G57" s="17">
        <f t="shared" si="19"/>
        <v>0</v>
      </c>
      <c r="H57" s="17">
        <f>ROUND(3652544,2)</f>
        <v>3652544</v>
      </c>
      <c r="I57" s="17">
        <f t="shared" si="20"/>
        <v>0</v>
      </c>
      <c r="J57" s="17">
        <f>ROUND(436928527.68,2)</f>
        <v>436928527.68</v>
      </c>
      <c r="K57" s="17">
        <f t="shared" si="21"/>
        <v>0</v>
      </c>
      <c r="L57" s="17">
        <f>ROUND(433275983.68,2)</f>
        <v>433275983.68</v>
      </c>
      <c r="M57" s="17">
        <f t="shared" si="22"/>
        <v>0</v>
      </c>
      <c r="N57" s="17">
        <f>ROUND(3652544,2)</f>
        <v>3652544</v>
      </c>
      <c r="O57" s="17">
        <f t="shared" si="23"/>
        <v>0</v>
      </c>
    </row>
    <row r="58" spans="1:15" ht="45.75">
      <c r="A58" s="15" t="s">
        <v>277</v>
      </c>
      <c r="B58" s="16" t="s">
        <v>145</v>
      </c>
      <c r="C58" s="16" t="s">
        <v>108</v>
      </c>
      <c r="D58" s="17">
        <f>ROUND(6595000,2)</f>
        <v>6595000</v>
      </c>
      <c r="E58" s="17">
        <f t="shared" si="18"/>
        <v>0</v>
      </c>
      <c r="F58" s="17">
        <f>ROUND(6595000,2)</f>
        <v>6595000</v>
      </c>
      <c r="G58" s="17">
        <f t="shared" si="19"/>
        <v>0</v>
      </c>
      <c r="H58" s="17">
        <f aca="true" t="shared" si="24" ref="H58:H76">ROUND(0,2)</f>
        <v>0</v>
      </c>
      <c r="I58" s="17">
        <f t="shared" si="20"/>
        <v>0</v>
      </c>
      <c r="J58" s="17">
        <f>ROUND(5638510,2)</f>
        <v>5638510</v>
      </c>
      <c r="K58" s="17">
        <f t="shared" si="21"/>
        <v>0</v>
      </c>
      <c r="L58" s="17">
        <f>ROUND(5638510,2)</f>
        <v>5638510</v>
      </c>
      <c r="M58" s="17">
        <f t="shared" si="22"/>
        <v>0</v>
      </c>
      <c r="N58" s="17">
        <f>ROUND(0,2)</f>
        <v>0</v>
      </c>
      <c r="O58" s="17">
        <f t="shared" si="23"/>
        <v>0</v>
      </c>
    </row>
    <row r="59" spans="1:15" ht="18.75">
      <c r="A59" s="15" t="s">
        <v>283</v>
      </c>
      <c r="B59" s="16" t="s">
        <v>165</v>
      </c>
      <c r="C59" s="16" t="s">
        <v>172</v>
      </c>
      <c r="D59" s="17">
        <f aca="true" t="shared" si="25" ref="D59:D76">ROUND(0,2)</f>
        <v>0</v>
      </c>
      <c r="E59" s="17">
        <f t="shared" si="18"/>
        <v>0</v>
      </c>
      <c r="F59" s="17">
        <f aca="true" t="shared" si="26" ref="F59:F76">ROUND(0,2)</f>
        <v>0</v>
      </c>
      <c r="G59" s="17">
        <f t="shared" si="19"/>
        <v>0</v>
      </c>
      <c r="H59" s="17">
        <f t="shared" si="24"/>
        <v>0</v>
      </c>
      <c r="I59" s="17">
        <f t="shared" si="20"/>
        <v>0</v>
      </c>
      <c r="J59" s="17">
        <f>ROUND(181896319.63,2)</f>
        <v>181896319.63</v>
      </c>
      <c r="K59" s="17">
        <f t="shared" si="21"/>
        <v>0</v>
      </c>
      <c r="L59" s="17">
        <f>ROUND(169088969.63,2)</f>
        <v>169088969.63</v>
      </c>
      <c r="M59" s="17">
        <f t="shared" si="22"/>
        <v>0</v>
      </c>
      <c r="N59" s="17">
        <f>ROUND(12807350,2)</f>
        <v>12807350</v>
      </c>
      <c r="O59" s="17">
        <f t="shared" si="23"/>
        <v>0</v>
      </c>
    </row>
    <row r="60" spans="1:15" ht="36.75">
      <c r="A60" s="15" t="s">
        <v>229</v>
      </c>
      <c r="B60" s="16" t="s">
        <v>13</v>
      </c>
      <c r="C60" s="16" t="s">
        <v>205</v>
      </c>
      <c r="D60" s="17">
        <f t="shared" si="25"/>
        <v>0</v>
      </c>
      <c r="E60" s="17">
        <f t="shared" si="18"/>
        <v>0</v>
      </c>
      <c r="F60" s="17">
        <f t="shared" si="26"/>
        <v>0</v>
      </c>
      <c r="G60" s="17">
        <f t="shared" si="19"/>
        <v>0</v>
      </c>
      <c r="H60" s="17">
        <f t="shared" si="24"/>
        <v>0</v>
      </c>
      <c r="I60" s="17">
        <f t="shared" si="20"/>
        <v>0</v>
      </c>
      <c r="J60" s="17">
        <f>ROUND(181896319.63,2)</f>
        <v>181896319.63</v>
      </c>
      <c r="K60" s="17">
        <f t="shared" si="21"/>
        <v>0</v>
      </c>
      <c r="L60" s="17">
        <f>ROUND(169088969.63,2)</f>
        <v>169088969.63</v>
      </c>
      <c r="M60" s="17">
        <f t="shared" si="22"/>
        <v>0</v>
      </c>
      <c r="N60" s="17">
        <f>ROUND(12807350,2)</f>
        <v>12807350</v>
      </c>
      <c r="O60" s="17">
        <f t="shared" si="23"/>
        <v>0</v>
      </c>
    </row>
    <row r="61" spans="1:15" ht="36.75">
      <c r="A61" s="15" t="s">
        <v>292</v>
      </c>
      <c r="B61" s="16" t="s">
        <v>113</v>
      </c>
      <c r="C61" s="16" t="s">
        <v>224</v>
      </c>
      <c r="D61" s="17">
        <f t="shared" si="25"/>
        <v>0</v>
      </c>
      <c r="E61" s="17">
        <f t="shared" si="18"/>
        <v>0</v>
      </c>
      <c r="F61" s="17">
        <f t="shared" si="26"/>
        <v>0</v>
      </c>
      <c r="G61" s="17">
        <f t="shared" si="19"/>
        <v>0</v>
      </c>
      <c r="H61" s="17">
        <f t="shared" si="24"/>
        <v>0</v>
      </c>
      <c r="I61" s="17">
        <f t="shared" si="20"/>
        <v>0</v>
      </c>
      <c r="J61" s="17">
        <f>ROUND(169088969.63,2)</f>
        <v>169088969.63</v>
      </c>
      <c r="K61" s="17">
        <f t="shared" si="21"/>
        <v>0</v>
      </c>
      <c r="L61" s="17">
        <f>ROUND(169088969.63,2)</f>
        <v>169088969.63</v>
      </c>
      <c r="M61" s="17">
        <f t="shared" si="22"/>
        <v>0</v>
      </c>
      <c r="N61" s="17">
        <f>ROUND(0,2)</f>
        <v>0</v>
      </c>
      <c r="O61" s="17">
        <f t="shared" si="23"/>
        <v>0</v>
      </c>
    </row>
    <row r="62" spans="1:15" ht="27.75">
      <c r="A62" s="15" t="s">
        <v>116</v>
      </c>
      <c r="B62" s="16" t="s">
        <v>290</v>
      </c>
      <c r="C62" s="16" t="s">
        <v>252</v>
      </c>
      <c r="D62" s="17">
        <f t="shared" si="25"/>
        <v>0</v>
      </c>
      <c r="E62" s="17">
        <f t="shared" si="18"/>
        <v>0</v>
      </c>
      <c r="F62" s="17">
        <f t="shared" si="26"/>
        <v>0</v>
      </c>
      <c r="G62" s="17">
        <f t="shared" si="19"/>
        <v>0</v>
      </c>
      <c r="H62" s="17">
        <f t="shared" si="24"/>
        <v>0</v>
      </c>
      <c r="I62" s="17">
        <f t="shared" si="20"/>
        <v>0</v>
      </c>
      <c r="J62" s="17">
        <f>ROUND(12807350,2)</f>
        <v>12807350</v>
      </c>
      <c r="K62" s="17">
        <f t="shared" si="21"/>
        <v>0</v>
      </c>
      <c r="L62" s="17">
        <f>ROUND(0,2)</f>
        <v>0</v>
      </c>
      <c r="M62" s="17">
        <f t="shared" si="22"/>
        <v>0</v>
      </c>
      <c r="N62" s="17">
        <f>ROUND(12807350,2)</f>
        <v>12807350</v>
      </c>
      <c r="O62" s="17">
        <f t="shared" si="23"/>
        <v>0</v>
      </c>
    </row>
    <row r="63" spans="1:15" ht="27.75">
      <c r="A63" s="15" t="s">
        <v>9</v>
      </c>
      <c r="B63" s="16" t="s">
        <v>71</v>
      </c>
      <c r="C63" s="16" t="s">
        <v>37</v>
      </c>
      <c r="D63" s="17">
        <f t="shared" si="25"/>
        <v>0</v>
      </c>
      <c r="E63" s="17">
        <f t="shared" si="18"/>
        <v>0</v>
      </c>
      <c r="F63" s="17">
        <f t="shared" si="26"/>
        <v>0</v>
      </c>
      <c r="G63" s="17">
        <f t="shared" si="19"/>
        <v>0</v>
      </c>
      <c r="H63" s="17">
        <f t="shared" si="24"/>
        <v>0</v>
      </c>
      <c r="I63" s="17">
        <f t="shared" si="20"/>
        <v>0</v>
      </c>
      <c r="J63" s="17">
        <f>ROUND(64423956.47,2)</f>
        <v>64423956.47</v>
      </c>
      <c r="K63" s="17">
        <f>ROUND(74124.25,2)</f>
        <v>74124.25</v>
      </c>
      <c r="L63" s="17">
        <f>ROUND(55153931.48,2)</f>
        <v>55153931.48</v>
      </c>
      <c r="M63" s="17">
        <f>ROUND(74124.25,2)</f>
        <v>74124.25</v>
      </c>
      <c r="N63" s="17">
        <f>ROUND(9270024.99,2)</f>
        <v>9270024.99</v>
      </c>
      <c r="O63" s="17">
        <f t="shared" si="23"/>
        <v>0</v>
      </c>
    </row>
    <row r="64" spans="1:15" ht="18.75">
      <c r="A64" s="15" t="s">
        <v>128</v>
      </c>
      <c r="B64" s="16" t="s">
        <v>190</v>
      </c>
      <c r="C64" s="16" t="s">
        <v>155</v>
      </c>
      <c r="D64" s="17">
        <f t="shared" si="25"/>
        <v>0</v>
      </c>
      <c r="E64" s="17">
        <f t="shared" si="18"/>
        <v>0</v>
      </c>
      <c r="F64" s="17">
        <f t="shared" si="26"/>
        <v>0</v>
      </c>
      <c r="G64" s="17">
        <f t="shared" si="19"/>
        <v>0</v>
      </c>
      <c r="H64" s="17">
        <f t="shared" si="24"/>
        <v>0</v>
      </c>
      <c r="I64" s="17">
        <f t="shared" si="20"/>
        <v>0</v>
      </c>
      <c r="J64" s="17">
        <f>ROUND(9296209.31,2)</f>
        <v>9296209.31</v>
      </c>
      <c r="K64" s="17">
        <f>ROUND(74124.25,2)</f>
        <v>74124.25</v>
      </c>
      <c r="L64" s="17">
        <f>ROUND(6310407.2,2)</f>
        <v>6310407.2</v>
      </c>
      <c r="M64" s="17">
        <f>ROUND(74124.25,2)</f>
        <v>74124.25</v>
      </c>
      <c r="N64" s="17">
        <f>ROUND(2985802.11,2)</f>
        <v>2985802.11</v>
      </c>
      <c r="O64" s="17">
        <f t="shared" si="23"/>
        <v>0</v>
      </c>
    </row>
    <row r="65" spans="1:15" ht="18.75">
      <c r="A65" s="15" t="s">
        <v>65</v>
      </c>
      <c r="B65" s="16" t="s">
        <v>279</v>
      </c>
      <c r="C65" s="16" t="s">
        <v>141</v>
      </c>
      <c r="D65" s="17">
        <f t="shared" si="25"/>
        <v>0</v>
      </c>
      <c r="E65" s="17">
        <f t="shared" si="18"/>
        <v>0</v>
      </c>
      <c r="F65" s="17">
        <f t="shared" si="26"/>
        <v>0</v>
      </c>
      <c r="G65" s="17">
        <f t="shared" si="19"/>
        <v>0</v>
      </c>
      <c r="H65" s="17">
        <f t="shared" si="24"/>
        <v>0</v>
      </c>
      <c r="I65" s="17">
        <f t="shared" si="20"/>
        <v>0</v>
      </c>
      <c r="J65" s="17">
        <f>ROUND(63414650.34,2)</f>
        <v>63414650.34</v>
      </c>
      <c r="K65" s="17">
        <f>ROUND(5092486.63,2)</f>
        <v>5092486.63</v>
      </c>
      <c r="L65" s="17">
        <f>ROUND(24405503.3,2)</f>
        <v>24405503.3</v>
      </c>
      <c r="M65" s="17">
        <f>ROUND(5090686.63,2)</f>
        <v>5090686.63</v>
      </c>
      <c r="N65" s="17">
        <f>ROUND(39009147.04,2)</f>
        <v>39009147.04</v>
      </c>
      <c r="O65" s="17">
        <f>ROUND(1800,2)</f>
        <v>1800</v>
      </c>
    </row>
    <row r="66" spans="1:15" ht="36.75">
      <c r="A66" s="15" t="s">
        <v>192</v>
      </c>
      <c r="B66" s="16" t="s">
        <v>137</v>
      </c>
      <c r="C66" s="16" t="s">
        <v>239</v>
      </c>
      <c r="D66" s="17">
        <f t="shared" si="25"/>
        <v>0</v>
      </c>
      <c r="E66" s="17">
        <f t="shared" si="18"/>
        <v>0</v>
      </c>
      <c r="F66" s="17">
        <f t="shared" si="26"/>
        <v>0</v>
      </c>
      <c r="G66" s="17">
        <f t="shared" si="19"/>
        <v>0</v>
      </c>
      <c r="H66" s="17">
        <f t="shared" si="24"/>
        <v>0</v>
      </c>
      <c r="I66" s="17">
        <f t="shared" si="20"/>
        <v>0</v>
      </c>
      <c r="J66" s="17">
        <f>ROUND(8636196.72,2)</f>
        <v>8636196.72</v>
      </c>
      <c r="K66" s="17">
        <f>ROUND(0,2)</f>
        <v>0</v>
      </c>
      <c r="L66" s="17">
        <f>ROUND(487644.37,2)</f>
        <v>487644.37</v>
      </c>
      <c r="M66" s="17">
        <f>ROUND(0,2)</f>
        <v>0</v>
      </c>
      <c r="N66" s="17">
        <f>ROUND(8148552.35,2)</f>
        <v>8148552.35</v>
      </c>
      <c r="O66" s="17">
        <f>ROUND(0,2)</f>
        <v>0</v>
      </c>
    </row>
    <row r="67" spans="1:15" ht="18.75">
      <c r="A67" s="15" t="s">
        <v>154</v>
      </c>
      <c r="B67" s="16" t="s">
        <v>133</v>
      </c>
      <c r="C67" s="16" t="s">
        <v>64</v>
      </c>
      <c r="D67" s="17">
        <f t="shared" si="25"/>
        <v>0</v>
      </c>
      <c r="E67" s="17">
        <f t="shared" si="18"/>
        <v>0</v>
      </c>
      <c r="F67" s="17">
        <f t="shared" si="26"/>
        <v>0</v>
      </c>
      <c r="G67" s="17">
        <f t="shared" si="19"/>
        <v>0</v>
      </c>
      <c r="H67" s="17">
        <f t="shared" si="24"/>
        <v>0</v>
      </c>
      <c r="I67" s="17">
        <f t="shared" si="20"/>
        <v>0</v>
      </c>
      <c r="J67" s="17">
        <f>ROUND(48844959.27,2)</f>
        <v>48844959.27</v>
      </c>
      <c r="K67" s="17">
        <f>ROUND(1503437.51,2)</f>
        <v>1503437.51</v>
      </c>
      <c r="L67" s="17">
        <f>ROUND(31911265.29,2)</f>
        <v>31911265.29</v>
      </c>
      <c r="M67" s="17">
        <f>ROUND(1488937.51,2)</f>
        <v>1488937.51</v>
      </c>
      <c r="N67" s="17">
        <f>ROUND(16933693.98,2)</f>
        <v>16933693.98</v>
      </c>
      <c r="O67" s="17">
        <f>ROUND(14500,2)</f>
        <v>14500</v>
      </c>
    </row>
    <row r="68" spans="1:15" ht="72.75">
      <c r="A68" s="15" t="s">
        <v>170</v>
      </c>
      <c r="B68" s="16" t="s">
        <v>24</v>
      </c>
      <c r="C68" s="16" t="s">
        <v>271</v>
      </c>
      <c r="D68" s="17">
        <f t="shared" si="25"/>
        <v>0</v>
      </c>
      <c r="E68" s="17">
        <f t="shared" si="18"/>
        <v>0</v>
      </c>
      <c r="F68" s="17">
        <f t="shared" si="26"/>
        <v>0</v>
      </c>
      <c r="G68" s="17">
        <f t="shared" si="19"/>
        <v>0</v>
      </c>
      <c r="H68" s="17">
        <f t="shared" si="24"/>
        <v>0</v>
      </c>
      <c r="I68" s="17">
        <f t="shared" si="20"/>
        <v>0</v>
      </c>
      <c r="J68" s="17">
        <f>ROUND(3708186.46,2)</f>
        <v>3708186.46</v>
      </c>
      <c r="K68" s="17">
        <f aca="true" t="shared" si="27" ref="K68:K105">ROUND(0,2)</f>
        <v>0</v>
      </c>
      <c r="L68" s="17">
        <f>ROUND(330721.65,2)</f>
        <v>330721.65</v>
      </c>
      <c r="M68" s="17">
        <f aca="true" t="shared" si="28" ref="M68:M105">ROUND(0,2)</f>
        <v>0</v>
      </c>
      <c r="N68" s="17">
        <f>ROUND(3377464.81,2)</f>
        <v>3377464.81</v>
      </c>
      <c r="O68" s="17">
        <f aca="true" t="shared" si="29" ref="O68:O105">ROUND(0,2)</f>
        <v>0</v>
      </c>
    </row>
    <row r="69" spans="1:15" ht="90.75">
      <c r="A69" s="15" t="s">
        <v>268</v>
      </c>
      <c r="B69" s="16" t="s">
        <v>164</v>
      </c>
      <c r="C69" s="16" t="s">
        <v>79</v>
      </c>
      <c r="D69" s="17">
        <f t="shared" si="25"/>
        <v>0</v>
      </c>
      <c r="E69" s="17">
        <f t="shared" si="18"/>
        <v>0</v>
      </c>
      <c r="F69" s="17">
        <f t="shared" si="26"/>
        <v>0</v>
      </c>
      <c r="G69" s="17">
        <f t="shared" si="19"/>
        <v>0</v>
      </c>
      <c r="H69" s="17">
        <f t="shared" si="24"/>
        <v>0</v>
      </c>
      <c r="I69" s="17">
        <f t="shared" si="20"/>
        <v>0</v>
      </c>
      <c r="J69" s="17">
        <f>ROUND(5223707.04,2)</f>
        <v>5223707.04</v>
      </c>
      <c r="K69" s="17">
        <f t="shared" si="27"/>
        <v>0</v>
      </c>
      <c r="L69" s="17">
        <f>ROUND(2414092.94,2)</f>
        <v>2414092.94</v>
      </c>
      <c r="M69" s="17">
        <f t="shared" si="28"/>
        <v>0</v>
      </c>
      <c r="N69" s="17">
        <f>ROUND(2809614.1,2)</f>
        <v>2809614.1</v>
      </c>
      <c r="O69" s="17">
        <f t="shared" si="29"/>
        <v>0</v>
      </c>
    </row>
    <row r="70" spans="1:15" ht="54.75">
      <c r="A70" s="15" t="s">
        <v>131</v>
      </c>
      <c r="B70" s="16" t="s">
        <v>198</v>
      </c>
      <c r="C70" s="16" t="s">
        <v>138</v>
      </c>
      <c r="D70" s="17">
        <f t="shared" si="25"/>
        <v>0</v>
      </c>
      <c r="E70" s="17">
        <f t="shared" si="18"/>
        <v>0</v>
      </c>
      <c r="F70" s="17">
        <f t="shared" si="26"/>
        <v>0</v>
      </c>
      <c r="G70" s="17">
        <f t="shared" si="19"/>
        <v>0</v>
      </c>
      <c r="H70" s="17">
        <f t="shared" si="24"/>
        <v>0</v>
      </c>
      <c r="I70" s="17">
        <f t="shared" si="20"/>
        <v>0</v>
      </c>
      <c r="J70" s="17">
        <f>ROUND(124823.66,2)</f>
        <v>124823.66</v>
      </c>
      <c r="K70" s="17">
        <f t="shared" si="27"/>
        <v>0</v>
      </c>
      <c r="L70" s="17">
        <f>ROUND(30000,2)</f>
        <v>30000</v>
      </c>
      <c r="M70" s="17">
        <f t="shared" si="28"/>
        <v>0</v>
      </c>
      <c r="N70" s="17">
        <f>ROUND(94823.66,2)</f>
        <v>94823.66</v>
      </c>
      <c r="O70" s="17">
        <f t="shared" si="29"/>
        <v>0</v>
      </c>
    </row>
    <row r="71" spans="1:15" ht="18.75">
      <c r="A71" s="15" t="s">
        <v>243</v>
      </c>
      <c r="B71" s="16" t="s">
        <v>81</v>
      </c>
      <c r="C71" s="16" t="s">
        <v>167</v>
      </c>
      <c r="D71" s="17">
        <f t="shared" si="25"/>
        <v>0</v>
      </c>
      <c r="E71" s="17">
        <f t="shared" si="18"/>
        <v>0</v>
      </c>
      <c r="F71" s="17">
        <f t="shared" si="26"/>
        <v>0</v>
      </c>
      <c r="G71" s="17">
        <f t="shared" si="19"/>
        <v>0</v>
      </c>
      <c r="H71" s="17">
        <f t="shared" si="24"/>
        <v>0</v>
      </c>
      <c r="I71" s="17">
        <f t="shared" si="20"/>
        <v>0</v>
      </c>
      <c r="J71" s="17">
        <f>ROUND(527322.59,2)</f>
        <v>527322.59</v>
      </c>
      <c r="K71" s="17">
        <f t="shared" si="27"/>
        <v>0</v>
      </c>
      <c r="L71" s="17">
        <f>ROUND(273732.34,2)</f>
        <v>273732.34</v>
      </c>
      <c r="M71" s="17">
        <f t="shared" si="28"/>
        <v>0</v>
      </c>
      <c r="N71" s="17">
        <f>ROUND(253590.25,2)</f>
        <v>253590.25</v>
      </c>
      <c r="O71" s="17">
        <f t="shared" si="29"/>
        <v>0</v>
      </c>
    </row>
    <row r="72" spans="1:15" ht="12.75">
      <c r="A72" s="15" t="s">
        <v>107</v>
      </c>
      <c r="B72" s="16" t="s">
        <v>241</v>
      </c>
      <c r="C72" s="16" t="s">
        <v>78</v>
      </c>
      <c r="D72" s="17">
        <f t="shared" si="25"/>
        <v>0</v>
      </c>
      <c r="E72" s="17">
        <f t="shared" si="18"/>
        <v>0</v>
      </c>
      <c r="F72" s="17">
        <f t="shared" si="26"/>
        <v>0</v>
      </c>
      <c r="G72" s="17">
        <f t="shared" si="19"/>
        <v>0</v>
      </c>
      <c r="H72" s="17">
        <f t="shared" si="24"/>
        <v>0</v>
      </c>
      <c r="I72" s="17">
        <f t="shared" si="20"/>
        <v>0</v>
      </c>
      <c r="J72" s="17">
        <f>ROUND(164864.82,2)</f>
        <v>164864.82</v>
      </c>
      <c r="K72" s="17">
        <f t="shared" si="27"/>
        <v>0</v>
      </c>
      <c r="L72" s="17">
        <f>ROUND(100704.26,2)</f>
        <v>100704.26</v>
      </c>
      <c r="M72" s="17">
        <f t="shared" si="28"/>
        <v>0</v>
      </c>
      <c r="N72" s="17">
        <f>ROUND(64160.56,2)</f>
        <v>64160.56</v>
      </c>
      <c r="O72" s="17">
        <f t="shared" si="29"/>
        <v>0</v>
      </c>
    </row>
    <row r="73" spans="1:15" ht="18.75">
      <c r="A73" s="15" t="s">
        <v>124</v>
      </c>
      <c r="B73" s="16" t="s">
        <v>245</v>
      </c>
      <c r="C73" s="16" t="s">
        <v>295</v>
      </c>
      <c r="D73" s="17">
        <f t="shared" si="25"/>
        <v>0</v>
      </c>
      <c r="E73" s="17">
        <f t="shared" si="18"/>
        <v>0</v>
      </c>
      <c r="F73" s="17">
        <f t="shared" si="26"/>
        <v>0</v>
      </c>
      <c r="G73" s="17">
        <f t="shared" si="19"/>
        <v>0</v>
      </c>
      <c r="H73" s="17">
        <f t="shared" si="24"/>
        <v>0</v>
      </c>
      <c r="I73" s="17">
        <f t="shared" si="20"/>
        <v>0</v>
      </c>
      <c r="J73" s="17">
        <f>ROUND(1034503.52,2)</f>
        <v>1034503.52</v>
      </c>
      <c r="K73" s="17">
        <f t="shared" si="27"/>
        <v>0</v>
      </c>
      <c r="L73" s="17">
        <f>ROUND(0,2)</f>
        <v>0</v>
      </c>
      <c r="M73" s="17">
        <f t="shared" si="28"/>
        <v>0</v>
      </c>
      <c r="N73" s="17">
        <f>ROUND(1034503.52,2)</f>
        <v>1034503.52</v>
      </c>
      <c r="O73" s="17">
        <f t="shared" si="29"/>
        <v>0</v>
      </c>
    </row>
    <row r="74" spans="1:15" ht="12.75">
      <c r="A74" s="15" t="s">
        <v>250</v>
      </c>
      <c r="B74" s="16" t="s">
        <v>175</v>
      </c>
      <c r="C74" s="16" t="s">
        <v>209</v>
      </c>
      <c r="D74" s="17">
        <f t="shared" si="25"/>
        <v>0</v>
      </c>
      <c r="E74" s="17">
        <f t="shared" si="18"/>
        <v>0</v>
      </c>
      <c r="F74" s="17">
        <f t="shared" si="26"/>
        <v>0</v>
      </c>
      <c r="G74" s="17">
        <f t="shared" si="19"/>
        <v>0</v>
      </c>
      <c r="H74" s="17">
        <f t="shared" si="24"/>
        <v>0</v>
      </c>
      <c r="I74" s="17">
        <f t="shared" si="20"/>
        <v>0</v>
      </c>
      <c r="J74" s="17">
        <f>ROUND(2744863.55,2)</f>
        <v>2744863.55</v>
      </c>
      <c r="K74" s="17">
        <f t="shared" si="27"/>
        <v>0</v>
      </c>
      <c r="L74" s="17">
        <f>ROUND(867355.56,2)</f>
        <v>867355.56</v>
      </c>
      <c r="M74" s="17">
        <f t="shared" si="28"/>
        <v>0</v>
      </c>
      <c r="N74" s="17">
        <f>ROUND(1877507.99,2)</f>
        <v>1877507.99</v>
      </c>
      <c r="O74" s="17">
        <f t="shared" si="29"/>
        <v>0</v>
      </c>
    </row>
    <row r="75" spans="1:15" ht="63.75">
      <c r="A75" s="15" t="s">
        <v>87</v>
      </c>
      <c r="B75" s="16" t="s">
        <v>253</v>
      </c>
      <c r="C75" s="16" t="s">
        <v>260</v>
      </c>
      <c r="D75" s="17">
        <f t="shared" si="25"/>
        <v>0</v>
      </c>
      <c r="E75" s="17">
        <f t="shared" si="18"/>
        <v>0</v>
      </c>
      <c r="F75" s="17">
        <f t="shared" si="26"/>
        <v>0</v>
      </c>
      <c r="G75" s="17">
        <f t="shared" si="19"/>
        <v>0</v>
      </c>
      <c r="H75" s="17">
        <f t="shared" si="24"/>
        <v>0</v>
      </c>
      <c r="I75" s="17">
        <f t="shared" si="20"/>
        <v>0</v>
      </c>
      <c r="J75" s="17">
        <f>ROUND(244722.63,2)</f>
        <v>244722.63</v>
      </c>
      <c r="K75" s="17">
        <f t="shared" si="27"/>
        <v>0</v>
      </c>
      <c r="L75" s="17">
        <f>ROUND(36294.17,2)</f>
        <v>36294.17</v>
      </c>
      <c r="M75" s="17">
        <f t="shared" si="28"/>
        <v>0</v>
      </c>
      <c r="N75" s="17">
        <f>ROUND(208428.46,2)</f>
        <v>208428.46</v>
      </c>
      <c r="O75" s="17">
        <f t="shared" si="29"/>
        <v>0</v>
      </c>
    </row>
    <row r="76" spans="1:15" ht="36.75">
      <c r="A76" s="15" t="s">
        <v>257</v>
      </c>
      <c r="B76" s="16" t="s">
        <v>21</v>
      </c>
      <c r="C76" s="16" t="s">
        <v>110</v>
      </c>
      <c r="D76" s="17">
        <f t="shared" si="25"/>
        <v>0</v>
      </c>
      <c r="E76" s="17">
        <f t="shared" si="18"/>
        <v>0</v>
      </c>
      <c r="F76" s="17">
        <f t="shared" si="26"/>
        <v>0</v>
      </c>
      <c r="G76" s="17">
        <f t="shared" si="19"/>
        <v>0</v>
      </c>
      <c r="H76" s="17">
        <f t="shared" si="24"/>
        <v>0</v>
      </c>
      <c r="I76" s="17">
        <f t="shared" si="20"/>
        <v>0</v>
      </c>
      <c r="J76" s="17">
        <f>ROUND(488208.2,2)</f>
        <v>488208.2</v>
      </c>
      <c r="K76" s="17">
        <f t="shared" si="27"/>
        <v>0</v>
      </c>
      <c r="L76" s="17">
        <f>ROUND(266723.1,2)</f>
        <v>266723.1</v>
      </c>
      <c r="M76" s="17">
        <f t="shared" si="28"/>
        <v>0</v>
      </c>
      <c r="N76" s="17">
        <f>ROUND(221485.1,2)</f>
        <v>221485.1</v>
      </c>
      <c r="O76" s="17">
        <f t="shared" si="29"/>
        <v>0</v>
      </c>
    </row>
    <row r="77" spans="1:15" ht="63.75">
      <c r="A77" s="15" t="s">
        <v>220</v>
      </c>
      <c r="B77" s="16" t="s">
        <v>206</v>
      </c>
      <c r="C77" s="16" t="s">
        <v>48</v>
      </c>
      <c r="D77" s="17">
        <f>ROUND(226882571.26,2)</f>
        <v>226882571.26</v>
      </c>
      <c r="E77" s="17">
        <f t="shared" si="18"/>
        <v>0</v>
      </c>
      <c r="F77" s="17">
        <f>ROUND(163884030.44,2)</f>
        <v>163884030.44</v>
      </c>
      <c r="G77" s="17">
        <f t="shared" si="19"/>
        <v>0</v>
      </c>
      <c r="H77" s="17">
        <f>ROUND(62998540.82,2)</f>
        <v>62998540.82</v>
      </c>
      <c r="I77" s="17">
        <f t="shared" si="20"/>
        <v>0</v>
      </c>
      <c r="J77" s="17">
        <f>ROUND(226386797.44,2)</f>
        <v>226386797.44</v>
      </c>
      <c r="K77" s="17">
        <f t="shared" si="27"/>
        <v>0</v>
      </c>
      <c r="L77" s="17">
        <f>ROUND(163799819.31,2)</f>
        <v>163799819.31</v>
      </c>
      <c r="M77" s="17">
        <f t="shared" si="28"/>
        <v>0</v>
      </c>
      <c r="N77" s="17">
        <f>ROUND(62586978.13,2)</f>
        <v>62586978.13</v>
      </c>
      <c r="O77" s="17">
        <f t="shared" si="29"/>
        <v>0</v>
      </c>
    </row>
    <row r="78" spans="1:15" ht="18.75">
      <c r="A78" s="15" t="s">
        <v>46</v>
      </c>
      <c r="B78" s="16" t="s">
        <v>276</v>
      </c>
      <c r="C78" s="16" t="s">
        <v>7</v>
      </c>
      <c r="D78" s="17">
        <f>ROUND(158854793.22,2)</f>
        <v>158854793.22</v>
      </c>
      <c r="E78" s="17">
        <f t="shared" si="18"/>
        <v>0</v>
      </c>
      <c r="F78" s="17">
        <f>ROUND(134990592.44,2)</f>
        <v>134990592.44</v>
      </c>
      <c r="G78" s="17">
        <f t="shared" si="19"/>
        <v>0</v>
      </c>
      <c r="H78" s="17">
        <f>ROUND(23864200.78,2)</f>
        <v>23864200.78</v>
      </c>
      <c r="I78" s="17">
        <f t="shared" si="20"/>
        <v>0</v>
      </c>
      <c r="J78" s="17">
        <f>ROUND(158770582.09,2)</f>
        <v>158770582.09</v>
      </c>
      <c r="K78" s="17">
        <f t="shared" si="27"/>
        <v>0</v>
      </c>
      <c r="L78" s="17">
        <f>ROUND(134906381.31,2)</f>
        <v>134906381.31</v>
      </c>
      <c r="M78" s="17">
        <f t="shared" si="28"/>
        <v>0</v>
      </c>
      <c r="N78" s="17">
        <f>ROUND(23864200.78,2)</f>
        <v>23864200.78</v>
      </c>
      <c r="O78" s="17">
        <f t="shared" si="29"/>
        <v>0</v>
      </c>
    </row>
    <row r="79" spans="1:15" ht="18.75">
      <c r="A79" s="15" t="s">
        <v>179</v>
      </c>
      <c r="B79" s="16" t="s">
        <v>15</v>
      </c>
      <c r="C79" s="16" t="s">
        <v>299</v>
      </c>
      <c r="D79" s="17">
        <f>ROUND(14280203.94,2)</f>
        <v>14280203.94</v>
      </c>
      <c r="E79" s="17">
        <f t="shared" si="18"/>
        <v>0</v>
      </c>
      <c r="F79" s="17">
        <f>ROUND(2007975.03,2)</f>
        <v>2007975.03</v>
      </c>
      <c r="G79" s="17">
        <f t="shared" si="19"/>
        <v>0</v>
      </c>
      <c r="H79" s="17">
        <f>ROUND(12272228.91,2)</f>
        <v>12272228.91</v>
      </c>
      <c r="I79" s="17">
        <f t="shared" si="20"/>
        <v>0</v>
      </c>
      <c r="J79" s="17">
        <f>ROUND(14280203.94,2)</f>
        <v>14280203.94</v>
      </c>
      <c r="K79" s="17">
        <f t="shared" si="27"/>
        <v>0</v>
      </c>
      <c r="L79" s="17">
        <f>ROUND(2007975.03,2)</f>
        <v>2007975.03</v>
      </c>
      <c r="M79" s="17">
        <f t="shared" si="28"/>
        <v>0</v>
      </c>
      <c r="N79" s="17">
        <f>ROUND(12272228.91,2)</f>
        <v>12272228.91</v>
      </c>
      <c r="O79" s="17">
        <f t="shared" si="29"/>
        <v>0</v>
      </c>
    </row>
    <row r="80" spans="1:15" ht="12.75">
      <c r="A80" s="15" t="s">
        <v>42</v>
      </c>
      <c r="B80" s="16" t="s">
        <v>302</v>
      </c>
      <c r="C80" s="16" t="s">
        <v>40</v>
      </c>
      <c r="D80" s="17">
        <f>ROUND(53747574.1,2)</f>
        <v>53747574.1</v>
      </c>
      <c r="E80" s="17">
        <f t="shared" si="18"/>
        <v>0</v>
      </c>
      <c r="F80" s="17">
        <f>ROUND(26885462.97,2)</f>
        <v>26885462.97</v>
      </c>
      <c r="G80" s="17">
        <f t="shared" si="19"/>
        <v>0</v>
      </c>
      <c r="H80" s="17">
        <f>ROUND(26862111.13,2)</f>
        <v>26862111.13</v>
      </c>
      <c r="I80" s="17">
        <f t="shared" si="20"/>
        <v>0</v>
      </c>
      <c r="J80" s="17">
        <f>ROUND(53336011.41,2)</f>
        <v>53336011.41</v>
      </c>
      <c r="K80" s="17">
        <f t="shared" si="27"/>
        <v>0</v>
      </c>
      <c r="L80" s="17">
        <f>ROUND(26885462.97,2)</f>
        <v>26885462.97</v>
      </c>
      <c r="M80" s="17">
        <f t="shared" si="28"/>
        <v>0</v>
      </c>
      <c r="N80" s="17">
        <f>ROUND(26450548.44,2)</f>
        <v>26450548.44</v>
      </c>
      <c r="O80" s="17">
        <f t="shared" si="29"/>
        <v>0</v>
      </c>
    </row>
    <row r="81" spans="1:15" ht="18.75">
      <c r="A81" s="15" t="s">
        <v>174</v>
      </c>
      <c r="B81" s="16" t="s">
        <v>12</v>
      </c>
      <c r="C81" s="16" t="s">
        <v>33</v>
      </c>
      <c r="D81" s="17">
        <f>ROUND(65108418.03,2)</f>
        <v>65108418.03</v>
      </c>
      <c r="E81" s="17">
        <f t="shared" si="18"/>
        <v>0</v>
      </c>
      <c r="F81" s="17">
        <f>ROUND(47114760.82,2)</f>
        <v>47114760.82</v>
      </c>
      <c r="G81" s="17">
        <f t="shared" si="19"/>
        <v>0</v>
      </c>
      <c r="H81" s="17">
        <f>ROUND(17993657.21,2)</f>
        <v>17993657.21</v>
      </c>
      <c r="I81" s="17">
        <f t="shared" si="20"/>
        <v>0</v>
      </c>
      <c r="J81" s="17">
        <f>ROUND(64926702.78,2)</f>
        <v>64926702.78</v>
      </c>
      <c r="K81" s="17">
        <f t="shared" si="27"/>
        <v>0</v>
      </c>
      <c r="L81" s="17">
        <f>ROUND(47075021.51,2)</f>
        <v>47075021.51</v>
      </c>
      <c r="M81" s="17">
        <f t="shared" si="28"/>
        <v>0</v>
      </c>
      <c r="N81" s="17">
        <f>ROUND(17851681.27,2)</f>
        <v>17851681.27</v>
      </c>
      <c r="O81" s="17">
        <f t="shared" si="29"/>
        <v>0</v>
      </c>
    </row>
    <row r="82" spans="1:15" ht="18.75">
      <c r="A82" s="15" t="s">
        <v>63</v>
      </c>
      <c r="B82" s="16" t="s">
        <v>103</v>
      </c>
      <c r="C82" s="16" t="s">
        <v>265</v>
      </c>
      <c r="D82" s="17">
        <f>ROUND(46165584.83,2)</f>
        <v>46165584.83</v>
      </c>
      <c r="E82" s="17">
        <f t="shared" si="18"/>
        <v>0</v>
      </c>
      <c r="F82" s="17">
        <f>ROUND(39320898.1,2)</f>
        <v>39320898.1</v>
      </c>
      <c r="G82" s="17">
        <f t="shared" si="19"/>
        <v>0</v>
      </c>
      <c r="H82" s="17">
        <f>ROUND(6844686.73,2)</f>
        <v>6844686.73</v>
      </c>
      <c r="I82" s="17">
        <f t="shared" si="20"/>
        <v>0</v>
      </c>
      <c r="J82" s="17">
        <f>ROUND(46125845.52,2)</f>
        <v>46125845.52</v>
      </c>
      <c r="K82" s="17">
        <f t="shared" si="27"/>
        <v>0</v>
      </c>
      <c r="L82" s="17">
        <f>ROUND(39281158.79,2)</f>
        <v>39281158.79</v>
      </c>
      <c r="M82" s="17">
        <f t="shared" si="28"/>
        <v>0</v>
      </c>
      <c r="N82" s="17">
        <f>ROUND(6844686.73,2)</f>
        <v>6844686.73</v>
      </c>
      <c r="O82" s="17">
        <f t="shared" si="29"/>
        <v>0</v>
      </c>
    </row>
    <row r="83" spans="1:15" ht="18.75">
      <c r="A83" s="15" t="s">
        <v>159</v>
      </c>
      <c r="B83" s="16" t="s">
        <v>207</v>
      </c>
      <c r="C83" s="16" t="s">
        <v>299</v>
      </c>
      <c r="D83" s="17">
        <f>ROUND(4120574.34,2)</f>
        <v>4120574.34</v>
      </c>
      <c r="E83" s="17">
        <f t="shared" si="18"/>
        <v>0</v>
      </c>
      <c r="F83" s="17">
        <f>ROUND(538328.37,2)</f>
        <v>538328.37</v>
      </c>
      <c r="G83" s="17">
        <f t="shared" si="19"/>
        <v>0</v>
      </c>
      <c r="H83" s="17">
        <f>ROUND(3582245.97,2)</f>
        <v>3582245.97</v>
      </c>
      <c r="I83" s="17">
        <f t="shared" si="20"/>
        <v>0</v>
      </c>
      <c r="J83" s="17">
        <f>ROUND(4120574.34,2)</f>
        <v>4120574.34</v>
      </c>
      <c r="K83" s="17">
        <f t="shared" si="27"/>
        <v>0</v>
      </c>
      <c r="L83" s="17">
        <f>ROUND(538328.37,2)</f>
        <v>538328.37</v>
      </c>
      <c r="M83" s="17">
        <f t="shared" si="28"/>
        <v>0</v>
      </c>
      <c r="N83" s="17">
        <f>ROUND(3582245.97,2)</f>
        <v>3582245.97</v>
      </c>
      <c r="O83" s="17">
        <f t="shared" si="29"/>
        <v>0</v>
      </c>
    </row>
    <row r="84" spans="1:15" ht="12.75">
      <c r="A84" s="15" t="s">
        <v>93</v>
      </c>
      <c r="B84" s="16" t="s">
        <v>84</v>
      </c>
      <c r="C84" s="16" t="s">
        <v>40</v>
      </c>
      <c r="D84" s="17">
        <f>ROUND(14822258.86,2)</f>
        <v>14822258.86</v>
      </c>
      <c r="E84" s="17">
        <f t="shared" si="18"/>
        <v>0</v>
      </c>
      <c r="F84" s="17">
        <f>ROUND(7255534.35,2)</f>
        <v>7255534.35</v>
      </c>
      <c r="G84" s="17">
        <f t="shared" si="19"/>
        <v>0</v>
      </c>
      <c r="H84" s="17">
        <f>ROUND(7566724.51,2)</f>
        <v>7566724.51</v>
      </c>
      <c r="I84" s="17">
        <f t="shared" si="20"/>
        <v>0</v>
      </c>
      <c r="J84" s="17">
        <f>ROUND(14680282.92,2)</f>
        <v>14680282.92</v>
      </c>
      <c r="K84" s="17">
        <f t="shared" si="27"/>
        <v>0</v>
      </c>
      <c r="L84" s="17">
        <f>ROUND(7255534.35,2)</f>
        <v>7255534.35</v>
      </c>
      <c r="M84" s="17">
        <f t="shared" si="28"/>
        <v>0</v>
      </c>
      <c r="N84" s="17">
        <f>ROUND(7424748.57,2)</f>
        <v>7424748.57</v>
      </c>
      <c r="O84" s="17">
        <f t="shared" si="29"/>
        <v>0</v>
      </c>
    </row>
    <row r="85" spans="1:15" ht="27.75">
      <c r="A85" s="15" t="s">
        <v>185</v>
      </c>
      <c r="B85" s="16" t="s">
        <v>200</v>
      </c>
      <c r="C85" s="16" t="s">
        <v>189</v>
      </c>
      <c r="D85" s="17">
        <f>ROUND(261249543.31,2)</f>
        <v>261249543.31</v>
      </c>
      <c r="E85" s="17">
        <f t="shared" si="18"/>
        <v>0</v>
      </c>
      <c r="F85" s="17">
        <f>ROUND(261249543.31,2)</f>
        <v>261249543.31</v>
      </c>
      <c r="G85" s="17">
        <f t="shared" si="19"/>
        <v>0</v>
      </c>
      <c r="H85" s="17">
        <f aca="true" t="shared" si="30" ref="H85:H96">ROUND(0,2)</f>
        <v>0</v>
      </c>
      <c r="I85" s="17">
        <f t="shared" si="20"/>
        <v>0</v>
      </c>
      <c r="J85" s="17">
        <f>ROUND(261165332.18,2)</f>
        <v>261165332.18</v>
      </c>
      <c r="K85" s="17">
        <f t="shared" si="27"/>
        <v>0</v>
      </c>
      <c r="L85" s="17">
        <f>ROUND(261165332.18,2)</f>
        <v>261165332.18</v>
      </c>
      <c r="M85" s="17">
        <f t="shared" si="28"/>
        <v>0</v>
      </c>
      <c r="N85" s="17">
        <f aca="true" t="shared" si="31" ref="N85:N96">ROUND(0,2)</f>
        <v>0</v>
      </c>
      <c r="O85" s="17">
        <f t="shared" si="29"/>
        <v>0</v>
      </c>
    </row>
    <row r="86" spans="1:15" ht="27.75">
      <c r="A86" s="15" t="s">
        <v>8</v>
      </c>
      <c r="B86" s="16" t="s">
        <v>301</v>
      </c>
      <c r="C86" s="16" t="s">
        <v>69</v>
      </c>
      <c r="D86" s="17">
        <f>ROUND(134990592.44,2)</f>
        <v>134990592.44</v>
      </c>
      <c r="E86" s="17">
        <f t="shared" si="18"/>
        <v>0</v>
      </c>
      <c r="F86" s="17">
        <f>ROUND(134990592.44,2)</f>
        <v>134990592.44</v>
      </c>
      <c r="G86" s="17">
        <f t="shared" si="19"/>
        <v>0</v>
      </c>
      <c r="H86" s="17">
        <f t="shared" si="30"/>
        <v>0</v>
      </c>
      <c r="I86" s="17">
        <f t="shared" si="20"/>
        <v>0</v>
      </c>
      <c r="J86" s="17">
        <f>ROUND(134906381.31,2)</f>
        <v>134906381.31</v>
      </c>
      <c r="K86" s="17">
        <f t="shared" si="27"/>
        <v>0</v>
      </c>
      <c r="L86" s="17">
        <f>ROUND(134906381.31,2)</f>
        <v>134906381.31</v>
      </c>
      <c r="M86" s="17">
        <f t="shared" si="28"/>
        <v>0</v>
      </c>
      <c r="N86" s="17">
        <f t="shared" si="31"/>
        <v>0</v>
      </c>
      <c r="O86" s="17">
        <f t="shared" si="29"/>
        <v>0</v>
      </c>
    </row>
    <row r="87" spans="1:15" ht="36.75">
      <c r="A87" s="15" t="s">
        <v>72</v>
      </c>
      <c r="B87" s="16" t="s">
        <v>19</v>
      </c>
      <c r="C87" s="16" t="s">
        <v>97</v>
      </c>
      <c r="D87" s="17">
        <f>ROUND(2007975.03,2)</f>
        <v>2007975.03</v>
      </c>
      <c r="E87" s="17">
        <f t="shared" si="18"/>
        <v>0</v>
      </c>
      <c r="F87" s="17">
        <f>ROUND(2007975.03,2)</f>
        <v>2007975.03</v>
      </c>
      <c r="G87" s="17">
        <f t="shared" si="19"/>
        <v>0</v>
      </c>
      <c r="H87" s="17">
        <f t="shared" si="30"/>
        <v>0</v>
      </c>
      <c r="I87" s="17">
        <f t="shared" si="20"/>
        <v>0</v>
      </c>
      <c r="J87" s="17">
        <f>ROUND(2007975.03,2)</f>
        <v>2007975.03</v>
      </c>
      <c r="K87" s="17">
        <f t="shared" si="27"/>
        <v>0</v>
      </c>
      <c r="L87" s="17">
        <f>ROUND(2007975.03,2)</f>
        <v>2007975.03</v>
      </c>
      <c r="M87" s="17">
        <f t="shared" si="28"/>
        <v>0</v>
      </c>
      <c r="N87" s="17">
        <f t="shared" si="31"/>
        <v>0</v>
      </c>
      <c r="O87" s="17">
        <f t="shared" si="29"/>
        <v>0</v>
      </c>
    </row>
    <row r="88" spans="1:15" ht="27.75">
      <c r="A88" s="15" t="s">
        <v>169</v>
      </c>
      <c r="B88" s="16" t="s">
        <v>98</v>
      </c>
      <c r="C88" s="16" t="s">
        <v>17</v>
      </c>
      <c r="D88" s="17">
        <f>ROUND(97365512.87,2)</f>
        <v>97365512.87</v>
      </c>
      <c r="E88" s="17">
        <f aca="true" t="shared" si="32" ref="E88:E105">ROUND(0,2)</f>
        <v>0</v>
      </c>
      <c r="F88" s="17">
        <f>ROUND(97365512.87,2)</f>
        <v>97365512.87</v>
      </c>
      <c r="G88" s="17">
        <f aca="true" t="shared" si="33" ref="G88:G105">ROUND(0,2)</f>
        <v>0</v>
      </c>
      <c r="H88" s="17">
        <f t="shared" si="30"/>
        <v>0</v>
      </c>
      <c r="I88" s="17">
        <f aca="true" t="shared" si="34" ref="I88:I105">ROUND(0,2)</f>
        <v>0</v>
      </c>
      <c r="J88" s="17">
        <f>ROUND(97365512.87,2)</f>
        <v>97365512.87</v>
      </c>
      <c r="K88" s="17">
        <f t="shared" si="27"/>
        <v>0</v>
      </c>
      <c r="L88" s="17">
        <f>ROUND(97365512.87,2)</f>
        <v>97365512.87</v>
      </c>
      <c r="M88" s="17">
        <f t="shared" si="28"/>
        <v>0</v>
      </c>
      <c r="N88" s="17">
        <f t="shared" si="31"/>
        <v>0</v>
      </c>
      <c r="O88" s="17">
        <f t="shared" si="29"/>
        <v>0</v>
      </c>
    </row>
    <row r="89" spans="1:15" ht="12.75">
      <c r="A89" s="15" t="s">
        <v>34</v>
      </c>
      <c r="B89" s="16" t="s">
        <v>235</v>
      </c>
      <c r="C89" s="16" t="s">
        <v>122</v>
      </c>
      <c r="D89" s="17">
        <f>ROUND(97365512.87,2)</f>
        <v>97365512.87</v>
      </c>
      <c r="E89" s="17">
        <f t="shared" si="32"/>
        <v>0</v>
      </c>
      <c r="F89" s="17">
        <f>ROUND(97365512.87,2)</f>
        <v>97365512.87</v>
      </c>
      <c r="G89" s="17">
        <f t="shared" si="33"/>
        <v>0</v>
      </c>
      <c r="H89" s="17">
        <f t="shared" si="30"/>
        <v>0</v>
      </c>
      <c r="I89" s="17">
        <f t="shared" si="34"/>
        <v>0</v>
      </c>
      <c r="J89" s="17">
        <f>ROUND(97365512.87,2)</f>
        <v>97365512.87</v>
      </c>
      <c r="K89" s="17">
        <f t="shared" si="27"/>
        <v>0</v>
      </c>
      <c r="L89" s="17">
        <f>ROUND(97365512.87,2)</f>
        <v>97365512.87</v>
      </c>
      <c r="M89" s="17">
        <f t="shared" si="28"/>
        <v>0</v>
      </c>
      <c r="N89" s="17">
        <f t="shared" si="31"/>
        <v>0</v>
      </c>
      <c r="O89" s="17">
        <f t="shared" si="29"/>
        <v>0</v>
      </c>
    </row>
    <row r="90" spans="1:15" ht="27.75">
      <c r="A90" s="15" t="s">
        <v>234</v>
      </c>
      <c r="B90" s="16" t="s">
        <v>275</v>
      </c>
      <c r="C90" s="16" t="s">
        <v>3</v>
      </c>
      <c r="D90" s="17">
        <f>ROUND(26885462.97,2)</f>
        <v>26885462.97</v>
      </c>
      <c r="E90" s="17">
        <f t="shared" si="32"/>
        <v>0</v>
      </c>
      <c r="F90" s="17">
        <f>ROUND(26885462.97,2)</f>
        <v>26885462.97</v>
      </c>
      <c r="G90" s="17">
        <f t="shared" si="33"/>
        <v>0</v>
      </c>
      <c r="H90" s="17">
        <f t="shared" si="30"/>
        <v>0</v>
      </c>
      <c r="I90" s="17">
        <f t="shared" si="34"/>
        <v>0</v>
      </c>
      <c r="J90" s="17">
        <f>ROUND(26885462.97,2)</f>
        <v>26885462.97</v>
      </c>
      <c r="K90" s="17">
        <f t="shared" si="27"/>
        <v>0</v>
      </c>
      <c r="L90" s="17">
        <f>ROUND(26885462.97,2)</f>
        <v>26885462.97</v>
      </c>
      <c r="M90" s="17">
        <f t="shared" si="28"/>
        <v>0</v>
      </c>
      <c r="N90" s="17">
        <f t="shared" si="31"/>
        <v>0</v>
      </c>
      <c r="O90" s="17">
        <f t="shared" si="29"/>
        <v>0</v>
      </c>
    </row>
    <row r="91" spans="1:15" ht="18.75">
      <c r="A91" s="15" t="s">
        <v>35</v>
      </c>
      <c r="B91" s="16" t="s">
        <v>18</v>
      </c>
      <c r="C91" s="16" t="s">
        <v>121</v>
      </c>
      <c r="D91" s="17">
        <f>ROUND(75273765.21,2)</f>
        <v>75273765.21</v>
      </c>
      <c r="E91" s="17">
        <f t="shared" si="32"/>
        <v>0</v>
      </c>
      <c r="F91" s="17">
        <f>ROUND(75273765.21,2)</f>
        <v>75273765.21</v>
      </c>
      <c r="G91" s="17">
        <f t="shared" si="33"/>
        <v>0</v>
      </c>
      <c r="H91" s="17">
        <f t="shared" si="30"/>
        <v>0</v>
      </c>
      <c r="I91" s="17">
        <f t="shared" si="34"/>
        <v>0</v>
      </c>
      <c r="J91" s="17">
        <f>ROUND(75234025.9,2)</f>
        <v>75234025.9</v>
      </c>
      <c r="K91" s="17">
        <f t="shared" si="27"/>
        <v>0</v>
      </c>
      <c r="L91" s="17">
        <f>ROUND(75234025.9,2)</f>
        <v>75234025.9</v>
      </c>
      <c r="M91" s="17">
        <f t="shared" si="28"/>
        <v>0</v>
      </c>
      <c r="N91" s="17">
        <f t="shared" si="31"/>
        <v>0</v>
      </c>
      <c r="O91" s="17">
        <f t="shared" si="29"/>
        <v>0</v>
      </c>
    </row>
    <row r="92" spans="1:15" ht="27.75">
      <c r="A92" s="15" t="s">
        <v>214</v>
      </c>
      <c r="B92" s="16" t="s">
        <v>83</v>
      </c>
      <c r="C92" s="16" t="s">
        <v>69</v>
      </c>
      <c r="D92" s="17">
        <f>ROUND(39320898.1,2)</f>
        <v>39320898.1</v>
      </c>
      <c r="E92" s="17">
        <f t="shared" si="32"/>
        <v>0</v>
      </c>
      <c r="F92" s="17">
        <f>ROUND(39320898.1,2)</f>
        <v>39320898.1</v>
      </c>
      <c r="G92" s="17">
        <f t="shared" si="33"/>
        <v>0</v>
      </c>
      <c r="H92" s="17">
        <f t="shared" si="30"/>
        <v>0</v>
      </c>
      <c r="I92" s="17">
        <f t="shared" si="34"/>
        <v>0</v>
      </c>
      <c r="J92" s="17">
        <f>ROUND(39281158.79,2)</f>
        <v>39281158.79</v>
      </c>
      <c r="K92" s="17">
        <f t="shared" si="27"/>
        <v>0</v>
      </c>
      <c r="L92" s="17">
        <f>ROUND(39281158.79,2)</f>
        <v>39281158.79</v>
      </c>
      <c r="M92" s="17">
        <f t="shared" si="28"/>
        <v>0</v>
      </c>
      <c r="N92" s="17">
        <f t="shared" si="31"/>
        <v>0</v>
      </c>
      <c r="O92" s="17">
        <f t="shared" si="29"/>
        <v>0</v>
      </c>
    </row>
    <row r="93" spans="1:15" ht="36.75">
      <c r="A93" s="15" t="s">
        <v>126</v>
      </c>
      <c r="B93" s="16" t="s">
        <v>201</v>
      </c>
      <c r="C93" s="16" t="s">
        <v>208</v>
      </c>
      <c r="D93" s="17">
        <f>ROUND(538328.37,2)</f>
        <v>538328.37</v>
      </c>
      <c r="E93" s="17">
        <f t="shared" si="32"/>
        <v>0</v>
      </c>
      <c r="F93" s="17">
        <f>ROUND(538328.37,2)</f>
        <v>538328.37</v>
      </c>
      <c r="G93" s="17">
        <f t="shared" si="33"/>
        <v>0</v>
      </c>
      <c r="H93" s="17">
        <f t="shared" si="30"/>
        <v>0</v>
      </c>
      <c r="I93" s="17">
        <f t="shared" si="34"/>
        <v>0</v>
      </c>
      <c r="J93" s="17">
        <f>ROUND(538328.37,2)</f>
        <v>538328.37</v>
      </c>
      <c r="K93" s="17">
        <f t="shared" si="27"/>
        <v>0</v>
      </c>
      <c r="L93" s="17">
        <f>ROUND(538328.37,2)</f>
        <v>538328.37</v>
      </c>
      <c r="M93" s="17">
        <f t="shared" si="28"/>
        <v>0</v>
      </c>
      <c r="N93" s="17">
        <f t="shared" si="31"/>
        <v>0</v>
      </c>
      <c r="O93" s="17">
        <f t="shared" si="29"/>
        <v>0</v>
      </c>
    </row>
    <row r="94" spans="1:15" ht="27.75">
      <c r="A94" s="15" t="s">
        <v>156</v>
      </c>
      <c r="B94" s="16" t="s">
        <v>285</v>
      </c>
      <c r="C94" s="16" t="s">
        <v>17</v>
      </c>
      <c r="D94" s="17">
        <f>ROUND(28159004.39,2)</f>
        <v>28159004.39</v>
      </c>
      <c r="E94" s="17">
        <f t="shared" si="32"/>
        <v>0</v>
      </c>
      <c r="F94" s="17">
        <f>ROUND(28159004.39,2)</f>
        <v>28159004.39</v>
      </c>
      <c r="G94" s="17">
        <f t="shared" si="33"/>
        <v>0</v>
      </c>
      <c r="H94" s="17">
        <f t="shared" si="30"/>
        <v>0</v>
      </c>
      <c r="I94" s="17">
        <f t="shared" si="34"/>
        <v>0</v>
      </c>
      <c r="J94" s="17">
        <f>ROUND(28159004.39,2)</f>
        <v>28159004.39</v>
      </c>
      <c r="K94" s="17">
        <f t="shared" si="27"/>
        <v>0</v>
      </c>
      <c r="L94" s="17">
        <f>ROUND(28159004.39,2)</f>
        <v>28159004.39</v>
      </c>
      <c r="M94" s="17">
        <f t="shared" si="28"/>
        <v>0</v>
      </c>
      <c r="N94" s="17">
        <f t="shared" si="31"/>
        <v>0</v>
      </c>
      <c r="O94" s="17">
        <f t="shared" si="29"/>
        <v>0</v>
      </c>
    </row>
    <row r="95" spans="1:15" ht="12.75">
      <c r="A95" s="15" t="s">
        <v>68</v>
      </c>
      <c r="B95" s="16" t="s">
        <v>135</v>
      </c>
      <c r="C95" s="16" t="s">
        <v>122</v>
      </c>
      <c r="D95" s="17">
        <f>ROUND(28159004.39,2)</f>
        <v>28159004.39</v>
      </c>
      <c r="E95" s="17">
        <f t="shared" si="32"/>
        <v>0</v>
      </c>
      <c r="F95" s="17">
        <f>ROUND(28159004.39,2)</f>
        <v>28159004.39</v>
      </c>
      <c r="G95" s="17">
        <f t="shared" si="33"/>
        <v>0</v>
      </c>
      <c r="H95" s="17">
        <f t="shared" si="30"/>
        <v>0</v>
      </c>
      <c r="I95" s="17">
        <f t="shared" si="34"/>
        <v>0</v>
      </c>
      <c r="J95" s="17">
        <f>ROUND(28159004.39,2)</f>
        <v>28159004.39</v>
      </c>
      <c r="K95" s="17">
        <f t="shared" si="27"/>
        <v>0</v>
      </c>
      <c r="L95" s="17">
        <f>ROUND(28159004.39,2)</f>
        <v>28159004.39</v>
      </c>
      <c r="M95" s="17">
        <f t="shared" si="28"/>
        <v>0</v>
      </c>
      <c r="N95" s="17">
        <f t="shared" si="31"/>
        <v>0</v>
      </c>
      <c r="O95" s="17">
        <f t="shared" si="29"/>
        <v>0</v>
      </c>
    </row>
    <row r="96" spans="1:15" ht="27.75">
      <c r="A96" s="15" t="s">
        <v>248</v>
      </c>
      <c r="B96" s="16" t="s">
        <v>102</v>
      </c>
      <c r="C96" s="16" t="s">
        <v>3</v>
      </c>
      <c r="D96" s="17">
        <f>ROUND(7255534.35,2)</f>
        <v>7255534.35</v>
      </c>
      <c r="E96" s="17">
        <f t="shared" si="32"/>
        <v>0</v>
      </c>
      <c r="F96" s="17">
        <f>ROUND(7255534.35,2)</f>
        <v>7255534.35</v>
      </c>
      <c r="G96" s="17">
        <f t="shared" si="33"/>
        <v>0</v>
      </c>
      <c r="H96" s="17">
        <f t="shared" si="30"/>
        <v>0</v>
      </c>
      <c r="I96" s="17">
        <f t="shared" si="34"/>
        <v>0</v>
      </c>
      <c r="J96" s="17">
        <f>ROUND(7255534.35,2)</f>
        <v>7255534.35</v>
      </c>
      <c r="K96" s="17">
        <f t="shared" si="27"/>
        <v>0</v>
      </c>
      <c r="L96" s="17">
        <f>ROUND(7255534.35,2)</f>
        <v>7255534.35</v>
      </c>
      <c r="M96" s="17">
        <f t="shared" si="28"/>
        <v>0</v>
      </c>
      <c r="N96" s="17">
        <f t="shared" si="31"/>
        <v>0</v>
      </c>
      <c r="O96" s="17">
        <f t="shared" si="29"/>
        <v>0</v>
      </c>
    </row>
    <row r="97" spans="1:15" ht="36.75">
      <c r="A97" s="15" t="s">
        <v>41</v>
      </c>
      <c r="B97" s="16" t="s">
        <v>178</v>
      </c>
      <c r="C97" s="16" t="s">
        <v>120</v>
      </c>
      <c r="D97" s="17">
        <f>ROUND(93431891.18,2)</f>
        <v>93431891.18</v>
      </c>
      <c r="E97" s="17">
        <f t="shared" si="32"/>
        <v>0</v>
      </c>
      <c r="F97" s="17">
        <f>ROUND(46163294.16,2)</f>
        <v>46163294.16</v>
      </c>
      <c r="G97" s="17">
        <f t="shared" si="33"/>
        <v>0</v>
      </c>
      <c r="H97" s="17">
        <f>ROUND(47268597.02,2)</f>
        <v>47268597.02</v>
      </c>
      <c r="I97" s="17">
        <f t="shared" si="34"/>
        <v>0</v>
      </c>
      <c r="J97" s="17">
        <f>ROUND(93431891.18,2)</f>
        <v>93431891.18</v>
      </c>
      <c r="K97" s="17">
        <f t="shared" si="27"/>
        <v>0</v>
      </c>
      <c r="L97" s="17">
        <f>ROUND(46163294.16,2)</f>
        <v>46163294.16</v>
      </c>
      <c r="M97" s="17">
        <f t="shared" si="28"/>
        <v>0</v>
      </c>
      <c r="N97" s="17">
        <f>ROUND(47268597.02,2)</f>
        <v>47268597.02</v>
      </c>
      <c r="O97" s="17">
        <f t="shared" si="29"/>
        <v>0</v>
      </c>
    </row>
    <row r="98" spans="1:15" ht="18.75">
      <c r="A98" s="15" t="s">
        <v>173</v>
      </c>
      <c r="B98" s="16" t="s">
        <v>90</v>
      </c>
      <c r="C98" s="16" t="s">
        <v>105</v>
      </c>
      <c r="D98" s="17">
        <f>ROUND(49105617.4,2)</f>
        <v>49105617.4</v>
      </c>
      <c r="E98" s="17">
        <f t="shared" si="32"/>
        <v>0</v>
      </c>
      <c r="F98" s="17">
        <f>ROUND(24758113.31,2)</f>
        <v>24758113.31</v>
      </c>
      <c r="G98" s="17">
        <f t="shared" si="33"/>
        <v>0</v>
      </c>
      <c r="H98" s="17">
        <f>ROUND(24347504.09,2)</f>
        <v>24347504.09</v>
      </c>
      <c r="I98" s="17">
        <f t="shared" si="34"/>
        <v>0</v>
      </c>
      <c r="J98" s="17">
        <f>ROUND(49105617.4,2)</f>
        <v>49105617.4</v>
      </c>
      <c r="K98" s="17">
        <f t="shared" si="27"/>
        <v>0</v>
      </c>
      <c r="L98" s="17">
        <f>ROUND(24758113.31,2)</f>
        <v>24758113.31</v>
      </c>
      <c r="M98" s="17">
        <f t="shared" si="28"/>
        <v>0</v>
      </c>
      <c r="N98" s="17">
        <f>ROUND(24347504.09,2)</f>
        <v>24347504.09</v>
      </c>
      <c r="O98" s="17">
        <f t="shared" si="29"/>
        <v>0</v>
      </c>
    </row>
    <row r="99" spans="1:15" ht="12.75">
      <c r="A99" s="15" t="s">
        <v>5</v>
      </c>
      <c r="B99" s="16"/>
      <c r="C99" s="16" t="s">
        <v>282</v>
      </c>
      <c r="D99" s="17">
        <f>ROUND(8533892.97,2)</f>
        <v>8533892.97</v>
      </c>
      <c r="E99" s="17">
        <f t="shared" si="32"/>
        <v>0</v>
      </c>
      <c r="F99" s="17">
        <f>ROUND(1725325.4,2)</f>
        <v>1725325.4</v>
      </c>
      <c r="G99" s="17">
        <f t="shared" si="33"/>
        <v>0</v>
      </c>
      <c r="H99" s="17">
        <f>ROUND(6808567.57,2)</f>
        <v>6808567.57</v>
      </c>
      <c r="I99" s="17">
        <f t="shared" si="34"/>
        <v>0</v>
      </c>
      <c r="J99" s="17">
        <f>ROUND(8533892.97,2)</f>
        <v>8533892.97</v>
      </c>
      <c r="K99" s="17">
        <f t="shared" si="27"/>
        <v>0</v>
      </c>
      <c r="L99" s="17">
        <f>ROUND(1725325.4,2)</f>
        <v>1725325.4</v>
      </c>
      <c r="M99" s="17">
        <f t="shared" si="28"/>
        <v>0</v>
      </c>
      <c r="N99" s="17">
        <f>ROUND(6808567.57,2)</f>
        <v>6808567.57</v>
      </c>
      <c r="O99" s="17">
        <f t="shared" si="29"/>
        <v>0</v>
      </c>
    </row>
    <row r="100" spans="1:15" ht="12.75">
      <c r="A100" s="15" t="s">
        <v>196</v>
      </c>
      <c r="B100" s="16"/>
      <c r="C100" s="16" t="s">
        <v>73</v>
      </c>
      <c r="D100" s="17">
        <f>ROUND(23659050.6,2)</f>
        <v>23659050.6</v>
      </c>
      <c r="E100" s="17">
        <f t="shared" si="32"/>
        <v>0</v>
      </c>
      <c r="F100" s="17">
        <f>ROUND(16161064.83,2)</f>
        <v>16161064.83</v>
      </c>
      <c r="G100" s="17">
        <f t="shared" si="33"/>
        <v>0</v>
      </c>
      <c r="H100" s="17">
        <f>ROUND(7497985.77,2)</f>
        <v>7497985.77</v>
      </c>
      <c r="I100" s="17">
        <f t="shared" si="34"/>
        <v>0</v>
      </c>
      <c r="J100" s="17">
        <f>ROUND(23659050.6,2)</f>
        <v>23659050.6</v>
      </c>
      <c r="K100" s="17">
        <f t="shared" si="27"/>
        <v>0</v>
      </c>
      <c r="L100" s="17">
        <f>ROUND(16161064.83,2)</f>
        <v>16161064.83</v>
      </c>
      <c r="M100" s="17">
        <f t="shared" si="28"/>
        <v>0</v>
      </c>
      <c r="N100" s="17">
        <f>ROUND(7497985.77,2)</f>
        <v>7497985.77</v>
      </c>
      <c r="O100" s="17">
        <f t="shared" si="29"/>
        <v>0</v>
      </c>
    </row>
    <row r="101" spans="1:15" ht="12.75">
      <c r="A101" s="15" t="s">
        <v>62</v>
      </c>
      <c r="B101" s="16"/>
      <c r="C101" s="16" t="s">
        <v>49</v>
      </c>
      <c r="D101" s="17">
        <f>ROUND(16912673.83,2)</f>
        <v>16912673.83</v>
      </c>
      <c r="E101" s="17">
        <f t="shared" si="32"/>
        <v>0</v>
      </c>
      <c r="F101" s="17">
        <f>ROUND(6871723.08,2)</f>
        <v>6871723.08</v>
      </c>
      <c r="G101" s="17">
        <f t="shared" si="33"/>
        <v>0</v>
      </c>
      <c r="H101" s="17">
        <f>ROUND(10040950.75,2)</f>
        <v>10040950.75</v>
      </c>
      <c r="I101" s="17">
        <f t="shared" si="34"/>
        <v>0</v>
      </c>
      <c r="J101" s="17">
        <f>ROUND(16912673.83,2)</f>
        <v>16912673.83</v>
      </c>
      <c r="K101" s="17">
        <f t="shared" si="27"/>
        <v>0</v>
      </c>
      <c r="L101" s="17">
        <f>ROUND(6871723.08,2)</f>
        <v>6871723.08</v>
      </c>
      <c r="M101" s="17">
        <f t="shared" si="28"/>
        <v>0</v>
      </c>
      <c r="N101" s="17">
        <f>ROUND(10040950.75,2)</f>
        <v>10040950.75</v>
      </c>
      <c r="O101" s="17">
        <f t="shared" si="29"/>
        <v>0</v>
      </c>
    </row>
    <row r="102" spans="1:15" ht="27.75">
      <c r="A102" s="15" t="s">
        <v>158</v>
      </c>
      <c r="B102" s="16" t="s">
        <v>233</v>
      </c>
      <c r="C102" s="16" t="s">
        <v>96</v>
      </c>
      <c r="D102" s="17">
        <f>ROUND(13432450.44,2)</f>
        <v>13432450.44</v>
      </c>
      <c r="E102" s="17">
        <f t="shared" si="32"/>
        <v>0</v>
      </c>
      <c r="F102" s="17">
        <f>ROUND(6621099.13,2)</f>
        <v>6621099.13</v>
      </c>
      <c r="G102" s="17">
        <f t="shared" si="33"/>
        <v>0</v>
      </c>
      <c r="H102" s="17">
        <f>ROUND(6811351.31,2)</f>
        <v>6811351.31</v>
      </c>
      <c r="I102" s="17">
        <f t="shared" si="34"/>
        <v>0</v>
      </c>
      <c r="J102" s="17">
        <f>ROUND(13432450.44,2)</f>
        <v>13432450.44</v>
      </c>
      <c r="K102" s="17">
        <f t="shared" si="27"/>
        <v>0</v>
      </c>
      <c r="L102" s="17">
        <f>ROUND(6621099.13,2)</f>
        <v>6621099.13</v>
      </c>
      <c r="M102" s="17">
        <f t="shared" si="28"/>
        <v>0</v>
      </c>
      <c r="N102" s="17">
        <f>ROUND(6811351.31,2)</f>
        <v>6811351.31</v>
      </c>
      <c r="O102" s="17">
        <f t="shared" si="29"/>
        <v>0</v>
      </c>
    </row>
    <row r="103" spans="1:15" ht="12.75">
      <c r="A103" s="15" t="s">
        <v>32</v>
      </c>
      <c r="B103" s="16"/>
      <c r="C103" s="16" t="s">
        <v>282</v>
      </c>
      <c r="D103" s="17">
        <f>ROUND(2102220.83,2)</f>
        <v>2102220.83</v>
      </c>
      <c r="E103" s="17">
        <f t="shared" si="32"/>
        <v>0</v>
      </c>
      <c r="F103" s="17">
        <f>ROUND(232226,2)</f>
        <v>232226</v>
      </c>
      <c r="G103" s="17">
        <f t="shared" si="33"/>
        <v>0</v>
      </c>
      <c r="H103" s="17">
        <f>ROUND(1869994.83,2)</f>
        <v>1869994.83</v>
      </c>
      <c r="I103" s="17">
        <f t="shared" si="34"/>
        <v>0</v>
      </c>
      <c r="J103" s="17">
        <f>ROUND(2102220.83,2)</f>
        <v>2102220.83</v>
      </c>
      <c r="K103" s="17">
        <f t="shared" si="27"/>
        <v>0</v>
      </c>
      <c r="L103" s="17">
        <f>ROUND(232226,2)</f>
        <v>232226</v>
      </c>
      <c r="M103" s="17">
        <f t="shared" si="28"/>
        <v>0</v>
      </c>
      <c r="N103" s="17">
        <f>ROUND(1869994.83,2)</f>
        <v>1869994.83</v>
      </c>
      <c r="O103" s="17">
        <f t="shared" si="29"/>
        <v>0</v>
      </c>
    </row>
    <row r="104" spans="1:15" ht="12.75">
      <c r="A104" s="15" t="s">
        <v>161</v>
      </c>
      <c r="B104" s="16"/>
      <c r="C104" s="16" t="s">
        <v>73</v>
      </c>
      <c r="D104" s="17">
        <f>ROUND(6446480.65,2)</f>
        <v>6446480.65</v>
      </c>
      <c r="E104" s="17">
        <f t="shared" si="32"/>
        <v>0</v>
      </c>
      <c r="F104" s="17">
        <f>ROUND(4446554.69,2)</f>
        <v>4446554.69</v>
      </c>
      <c r="G104" s="17">
        <f t="shared" si="33"/>
        <v>0</v>
      </c>
      <c r="H104" s="17">
        <f>ROUND(1999925.96,2)</f>
        <v>1999925.96</v>
      </c>
      <c r="I104" s="17">
        <f t="shared" si="34"/>
        <v>0</v>
      </c>
      <c r="J104" s="17">
        <f>ROUND(6446480.65,2)</f>
        <v>6446480.65</v>
      </c>
      <c r="K104" s="17">
        <f t="shared" si="27"/>
        <v>0</v>
      </c>
      <c r="L104" s="17">
        <f>ROUND(4446554.69,2)</f>
        <v>4446554.69</v>
      </c>
      <c r="M104" s="17">
        <f t="shared" si="28"/>
        <v>0</v>
      </c>
      <c r="N104" s="17">
        <f>ROUND(1999925.96,2)</f>
        <v>1999925.96</v>
      </c>
      <c r="O104" s="17">
        <f t="shared" si="29"/>
        <v>0</v>
      </c>
    </row>
    <row r="105" spans="1:15" ht="12.75">
      <c r="A105" s="15" t="s">
        <v>27</v>
      </c>
      <c r="B105" s="16"/>
      <c r="C105" s="16" t="s">
        <v>49</v>
      </c>
      <c r="D105" s="17">
        <f>ROUND(4883748.96,2)</f>
        <v>4883748.96</v>
      </c>
      <c r="E105" s="17">
        <f t="shared" si="32"/>
        <v>0</v>
      </c>
      <c r="F105" s="17">
        <f>ROUND(1942318.44,2)</f>
        <v>1942318.44</v>
      </c>
      <c r="G105" s="17">
        <f t="shared" si="33"/>
        <v>0</v>
      </c>
      <c r="H105" s="17">
        <f>ROUND(2941430.52,2)</f>
        <v>2941430.52</v>
      </c>
      <c r="I105" s="17">
        <f t="shared" si="34"/>
        <v>0</v>
      </c>
      <c r="J105" s="17">
        <f>ROUND(4883748.96,2)</f>
        <v>4883748.96</v>
      </c>
      <c r="K105" s="17">
        <f t="shared" si="27"/>
        <v>0</v>
      </c>
      <c r="L105" s="17">
        <f>ROUND(1942318.44,2)</f>
        <v>1942318.44</v>
      </c>
      <c r="M105" s="17">
        <f t="shared" si="28"/>
        <v>0</v>
      </c>
      <c r="N105" s="17">
        <f>ROUND(2941430.52,2)</f>
        <v>2941430.52</v>
      </c>
      <c r="O105" s="17">
        <f t="shared" si="29"/>
        <v>0</v>
      </c>
    </row>
    <row r="106" spans="1:1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" t="s">
        <v>219</v>
      </c>
      <c r="O106" s="3"/>
    </row>
    <row r="107" spans="1:15" ht="28.5" customHeight="1">
      <c r="A107" s="6"/>
      <c r="B107" s="6"/>
      <c r="C107" s="18" t="s">
        <v>306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9" t="s">
        <v>307</v>
      </c>
      <c r="O107" s="20"/>
    </row>
    <row r="108" spans="1:1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1" t="s">
        <v>219</v>
      </c>
      <c r="O108" s="3"/>
    </row>
    <row r="109" spans="1:15" ht="12.75" customHeight="1">
      <c r="A109" s="6"/>
      <c r="B109" s="6"/>
      <c r="C109" s="6" t="s">
        <v>308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9" t="s">
        <v>309</v>
      </c>
      <c r="O109" s="20"/>
    </row>
  </sheetData>
  <mergeCells count="16">
    <mergeCell ref="A1:D1"/>
    <mergeCell ref="A2:D2"/>
    <mergeCell ref="A3:D3"/>
    <mergeCell ref="E1:H1"/>
    <mergeCell ref="E2:H2"/>
    <mergeCell ref="E3:H3"/>
    <mergeCell ref="N1:O1"/>
    <mergeCell ref="N2:O2"/>
    <mergeCell ref="N3:O3"/>
    <mergeCell ref="I1:L1"/>
    <mergeCell ref="I2:L2"/>
    <mergeCell ref="I3:L3"/>
    <mergeCell ref="N106:O106"/>
    <mergeCell ref="N107:O107"/>
    <mergeCell ref="N108:O108"/>
    <mergeCell ref="N109:O109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4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2013-02-20T06:49:11Z</cp:lastPrinted>
  <dcterms:created xsi:type="dcterms:W3CDTF">2013-02-05T05:10:30Z</dcterms:created>
  <dcterms:modified xsi:type="dcterms:W3CDTF">2013-02-20T06:49:12Z</dcterms:modified>
  <cp:category/>
  <cp:version/>
  <cp:contentType/>
  <cp:contentStatus/>
</cp:coreProperties>
</file>