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<sst xmlns="http://schemas.openxmlformats.org/spreadsheetml/2006/main" count="305" uniqueCount="291">
  <si>
    <t>Выплата единовременного пособия при всех формах устройства детей, лишенных родительского попечения, в семью</t>
  </si>
  <si>
    <t>02525 000 0409 0000000 000 000</t>
  </si>
  <si>
    <t>ВСЕГО по Новохоперскому району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</si>
  <si>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</si>
  <si>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103,3</t>
  </si>
  <si>
    <t>101,160</t>
  </si>
  <si>
    <t>в том числе: в сфере образования</t>
  </si>
  <si>
    <t>101,319</t>
  </si>
  <si>
    <t>из них: Мероприятия по проведению оздоровительной кампании детей</t>
  </si>
  <si>
    <t>101,95</t>
  </si>
  <si>
    <t>14000 000 0000 0000000 000 000</t>
  </si>
  <si>
    <t>10720 000 0000 0000000 000 000</t>
  </si>
  <si>
    <t>капитальный ремонт и реконструкцию общеобразовательных учреждений</t>
  </si>
  <si>
    <t>13200 000 0800 0000000 000 000</t>
  </si>
  <si>
    <t>101,91</t>
  </si>
  <si>
    <t>в сфере здравоохранения, из них за счет средств субсидий, предоставляемых</t>
  </si>
  <si>
    <t>24000 000 0000 0000000 000 000</t>
  </si>
  <si>
    <t>в том числе: Организация питания учащихся в общеобразовательных учреждениях</t>
  </si>
  <si>
    <t>12320 000 0000 0000000 000 290</t>
  </si>
  <si>
    <t>00210 000 0000 0000000 000 211</t>
  </si>
  <si>
    <t>101,230</t>
  </si>
  <si>
    <t>12202 000 0000 0000000 000 226</t>
  </si>
  <si>
    <t>101,378</t>
  </si>
  <si>
    <t>03818 000 0702 4362100 000 000</t>
  </si>
  <si>
    <t>03800 000 0700 0000000 000 000</t>
  </si>
  <si>
    <t>103,9</t>
  </si>
  <si>
    <t>Осуществление первичного воинского учета на территориях, где отсутствуют военные комиссариаты</t>
  </si>
  <si>
    <t>09302 000 1003 0000000 000 262</t>
  </si>
  <si>
    <t>103,7</t>
  </si>
  <si>
    <t>Начисления на выплаты по оплате труда</t>
  </si>
  <si>
    <t>101,458</t>
  </si>
  <si>
    <t>101,490</t>
  </si>
  <si>
    <t>101,99</t>
  </si>
  <si>
    <t>ОСТАТКИ СРЕДСТВ БЮДЖЕТОВ НА ОТЧЕТНУЮ ДАТУ:</t>
  </si>
  <si>
    <t>101,147</t>
  </si>
  <si>
    <t>развитие школьной инфраструктуры</t>
  </si>
  <si>
    <t>в других сферах</t>
  </si>
  <si>
    <t>103,1</t>
  </si>
  <si>
    <t>101,410</t>
  </si>
  <si>
    <t>101,162</t>
  </si>
  <si>
    <t>02910 000 0000 0000000 000 000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</si>
  <si>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</si>
  <si>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101,395</t>
  </si>
  <si>
    <t>101,238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</si>
  <si>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</si>
  <si>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</si>
  <si>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101,122</t>
  </si>
  <si>
    <t>1  1 Утверждено консолидированный бюджет субъекта РФ</t>
  </si>
  <si>
    <t>Оздоровление детей</t>
  </si>
  <si>
    <t>Расходы по содержанию органов местного самоуправления, всего</t>
  </si>
  <si>
    <t>00231 000 0000 0000000 000 213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</si>
  <si>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</si>
  <si>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начисления на выплаты по оплате труда</t>
  </si>
  <si>
    <t>101,183</t>
  </si>
  <si>
    <t>9  9 Утверждено бюджеты муниципальных районов</t>
  </si>
  <si>
    <t>Подпрограмма "Обеспечение жильем молодых семей"</t>
  </si>
  <si>
    <t>Поддержка коммунального хозяйства, всего</t>
  </si>
  <si>
    <t>03811 000 0702 4362100 000 000</t>
  </si>
  <si>
    <t>103,5</t>
  </si>
  <si>
    <t>101,414</t>
  </si>
  <si>
    <t>Прочие работы, услуги, всего:</t>
  </si>
  <si>
    <t>101,374</t>
  </si>
  <si>
    <t>№ листа / № строки</t>
  </si>
  <si>
    <t>101,512</t>
  </si>
  <si>
    <t>Мероприятия в области образования</t>
  </si>
  <si>
    <t>10800 000 0000 0000000 000 000</t>
  </si>
  <si>
    <t>Муниципальные служащие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</si>
  <si>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</si>
  <si>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Федеральная целевая программа "Социальное развитие села до 2013 года"</t>
  </si>
  <si>
    <t>08203 000 1004 0000000 000 000</t>
  </si>
  <si>
    <t>101,143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</si>
  <si>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</si>
  <si>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</si>
  <si>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04200 000 0000 0000000 000 000</t>
  </si>
  <si>
    <t>12205 000 0000 0000000 000 226</t>
  </si>
  <si>
    <t>101,224</t>
  </si>
  <si>
    <t>Социальное обеспечение</t>
  </si>
  <si>
    <t>14600 000 0000 0000000 000 000</t>
  </si>
  <si>
    <t>Выплата региональной доплаты к пенсии</t>
  </si>
  <si>
    <t>02911 000 0501 0000000 000 000</t>
  </si>
  <si>
    <t>101,387</t>
  </si>
  <si>
    <t>07900 000 1004 5050502 000 000</t>
  </si>
  <si>
    <t>07800 000 1004 5052102 000 000</t>
  </si>
  <si>
    <t>101,155</t>
  </si>
  <si>
    <t>000 0000 0000000 000 211 01</t>
  </si>
  <si>
    <t>03801 000 0702 0000000 000 000</t>
  </si>
  <si>
    <t>101,115</t>
  </si>
  <si>
    <t>101,429</t>
  </si>
  <si>
    <t>101,245</t>
  </si>
  <si>
    <t>101,151</t>
  </si>
  <si>
    <t>на начисления на выплаты по оплате труда  - по 01 разделу</t>
  </si>
  <si>
    <t>23300 000 0900 0000000 000 000</t>
  </si>
  <si>
    <t>08201 000 1004 0000000 000 000</t>
  </si>
  <si>
    <t>02514 000 0409 0000000 000 000</t>
  </si>
  <si>
    <t>10101 000 0000 0000000 000 000</t>
  </si>
  <si>
    <t>14100 000 0700 0000000 000 000</t>
  </si>
  <si>
    <t>101,260</t>
  </si>
  <si>
    <t>на заработную плату  - по 01 разделу в том числе:</t>
  </si>
  <si>
    <t>03813 000 0702 4362100 000 000</t>
  </si>
  <si>
    <t>101,383</t>
  </si>
  <si>
    <t>101,117</t>
  </si>
  <si>
    <t>уплату штрафов, пеней за несвоевременную уплату налогов и сборов, другие экономические санкции</t>
  </si>
  <si>
    <t>в том числе: Субсидии на осуществление мероприятий по обеспечению жильем граждан Российской Федерации, проживающих в сельской местности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</si>
  <si>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</si>
  <si>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10722 000 0000 0000000 000 000</t>
  </si>
  <si>
    <t>08700 000 0000 1001100 000 000</t>
  </si>
  <si>
    <t>03900 000 0702 5200900 000 000</t>
  </si>
  <si>
    <t>101,305</t>
  </si>
  <si>
    <t>101,159</t>
  </si>
  <si>
    <t>101,22</t>
  </si>
  <si>
    <t>____________________</t>
  </si>
  <si>
    <t>02900 000 0000 0000000 000 000</t>
  </si>
  <si>
    <t>Расходы по содержанию органов местного самоуправления, всего - по 01 разделу</t>
  </si>
  <si>
    <t>Начисления на выплаты по оплате труда, в том числе:</t>
  </si>
  <si>
    <t>бюджетным учреждениям</t>
  </si>
  <si>
    <t>повышение квалификации, профессиональной переподготовки руководителей общеобразовательных учреждений и учителей</t>
  </si>
  <si>
    <t>101,385</t>
  </si>
  <si>
    <t>101,228</t>
  </si>
  <si>
    <t>00220 000 0000 0000000 000 212</t>
  </si>
  <si>
    <t>101,320</t>
  </si>
  <si>
    <t>21  21 Исполнено бюджеты муниципальных районов</t>
  </si>
  <si>
    <t>Содержание ребенка в семье опекуна и приемной семье, а также вознаграждение, причитающееся приемному родителю</t>
  </si>
  <si>
    <t>101,262</t>
  </si>
  <si>
    <t>101,381</t>
  </si>
  <si>
    <t>09300 000 0000 0000000 000 000</t>
  </si>
  <si>
    <t>12200 000 0000 0000000 000 226</t>
  </si>
  <si>
    <t>в том числе на: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</si>
  <si>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03814 000 0702 4362100 000 000</t>
  </si>
  <si>
    <t>24301 000 0900 0000000 000 000</t>
  </si>
  <si>
    <t>101,26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</si>
  <si>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</si>
  <si>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</si>
  <si>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101,28</t>
  </si>
  <si>
    <t>00800 000 0203 0013600 000 000</t>
  </si>
  <si>
    <t>Расходы на содержание имущества, всего:</t>
  </si>
  <si>
    <t>03817 000 0702 4362100 000 000</t>
  </si>
  <si>
    <t>00211 000 0000 0000000 000 211</t>
  </si>
  <si>
    <t>Ед. измерения: документа -  руб.</t>
  </si>
  <si>
    <t>02921 000 0501 0000000 000 000</t>
  </si>
  <si>
    <t>101,90</t>
  </si>
  <si>
    <t>14  14 Исполнено консолидированный бюджет субъекта РФ (средства федерального бюджета)</t>
  </si>
  <si>
    <t>в том числе: выплаты приемной семье на содержание подопечных детей</t>
  </si>
  <si>
    <t>из них: бюджетные инвестиции (без ФАИП)</t>
  </si>
  <si>
    <t>пополнение фондов школьных библиотек</t>
  </si>
  <si>
    <t>101,140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</si>
  <si>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</si>
  <si>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Мероприятия в сфере культуры и кинематографии</t>
  </si>
  <si>
    <t>101,377</t>
  </si>
  <si>
    <t>из них: остатки целевых средств бюджетов</t>
  </si>
  <si>
    <t>101,511</t>
  </si>
  <si>
    <t>02510 000 0409 0000000 000 000</t>
  </si>
  <si>
    <t>103,6</t>
  </si>
  <si>
    <t>101,417</t>
  </si>
  <si>
    <t>02800 000 0501 0000000 000 000</t>
  </si>
  <si>
    <t>103,8</t>
  </si>
  <si>
    <t>04400 000 0800 4400000 000 000</t>
  </si>
  <si>
    <t>энергосбережение в системе общего образования</t>
  </si>
  <si>
    <t>12203 000 0000 0000000 000 226</t>
  </si>
  <si>
    <t>10700 000 0000 0000000 000 000</t>
  </si>
  <si>
    <t>101,231</t>
  </si>
  <si>
    <t>услуги вневедомственной (в том числе пожарной) охраны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</si>
  <si>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</si>
  <si>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101,457</t>
  </si>
  <si>
    <t>101,379</t>
  </si>
  <si>
    <t>выплаты семьям опекунов на содержание подопечных детей</t>
  </si>
  <si>
    <t>МУНИЦИПАЛЬНЫЙ ДОЛГ, всего</t>
  </si>
  <si>
    <t>103,2</t>
  </si>
  <si>
    <t>101,413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</si>
  <si>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</si>
  <si>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</si>
  <si>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</si>
  <si>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</si>
  <si>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101,398</t>
  </si>
  <si>
    <t>04401 000 0801 4400200 000 000</t>
  </si>
  <si>
    <t>03100 000 0503 0000000 000 000</t>
  </si>
  <si>
    <t>04600 000 0900 5201800 000 000</t>
  </si>
  <si>
    <t>04201 000 0707 4320200 000 000</t>
  </si>
  <si>
    <t>101,250</t>
  </si>
  <si>
    <t>101,436</t>
  </si>
  <si>
    <t>101,144</t>
  </si>
  <si>
    <t>22  22 Исполнено бюджеты муниципальных районов (средства федерального бюджета)</t>
  </si>
  <si>
    <t>Модернизация региональных систем общего образования, всего, в том числе расходы на:</t>
  </si>
  <si>
    <t>Расходы на заработную плату работникам учреждений,  в том числе:</t>
  </si>
  <si>
    <t>10801 000 0000 0000000 000 000</t>
  </si>
  <si>
    <t>101,127</t>
  </si>
  <si>
    <t>101,375</t>
  </si>
  <si>
    <t>03810 000 0702 4362100 000 000</t>
  </si>
  <si>
    <t>101,182</t>
  </si>
  <si>
    <t>Поддержка развития дошкольных образовательных учреждений в субъектах Российской Федерации</t>
  </si>
  <si>
    <t>103,4</t>
  </si>
  <si>
    <t>101,167</t>
  </si>
  <si>
    <t>12204 000 0000 0000000 000 226</t>
  </si>
  <si>
    <t>23000 000 0000 0000000 000 000</t>
  </si>
  <si>
    <t>08202 000 1004 0000000 000 000</t>
  </si>
  <si>
    <t>МЕСЯЧНЫЙ ОТЧЕТ ОБ ИСПОЛНЕНИИ БЮДЖЕТА</t>
  </si>
  <si>
    <t>2  2 Утверждено консолидированный бюджет субъекта РФ (средства федерального бюджета)</t>
  </si>
  <si>
    <t>10102 000 0000 0000000 000 000</t>
  </si>
  <si>
    <t>объем основного долга по бюджетным кредитам, привлеченным в местный бюджет, всего</t>
  </si>
  <si>
    <t>13000 000 0000 0000000 000 000</t>
  </si>
  <si>
    <t>14200 000 0800 0000000 000 000</t>
  </si>
  <si>
    <t>Прочие расходы, всего:</t>
  </si>
  <si>
    <t>06200 000 1003 0000000 000 000</t>
  </si>
  <si>
    <t>101,148</t>
  </si>
  <si>
    <t>Мероприятия по обеспечению жильем иных категорий граждан на основании решений Правительства Российской Федерации</t>
  </si>
  <si>
    <t>из них расходы на:       заработную плату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</si>
  <si>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</si>
  <si>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06100 000 0000 0000000 000 260</t>
  </si>
  <si>
    <t>00230 000 0000 0000000 000 213</t>
  </si>
  <si>
    <t>101,123</t>
  </si>
  <si>
    <t xml:space="preserve"> </t>
  </si>
  <si>
    <t>101,394</t>
  </si>
  <si>
    <t>101,239</t>
  </si>
  <si>
    <t>101,56</t>
  </si>
  <si>
    <t>101,163</t>
  </si>
  <si>
    <t>бюджетные кредиты, полученные из бюджета субъекта Российской Федерации</t>
  </si>
  <si>
    <t>приобретение оборудования</t>
  </si>
  <si>
    <t>12  12 Утверждено бюджеты городских и сельских поселений (средства федерального бюджета)</t>
  </si>
  <si>
    <t>муниципальных служащих, работников, замещающих муниципальные должности</t>
  </si>
  <si>
    <t>10100 000 0000 0000000 000 000</t>
  </si>
  <si>
    <t>101,302</t>
  </si>
  <si>
    <t>101,25</t>
  </si>
  <si>
    <t>Субсидии на обеспечение жильем</t>
  </si>
  <si>
    <t>Благоустройство</t>
  </si>
  <si>
    <t>000 0000 0000000 000 213 01</t>
  </si>
  <si>
    <t>23301 000 0900 0000000 000 000</t>
  </si>
  <si>
    <t>08200 000 1004 0000000 000 000</t>
  </si>
  <si>
    <t>03000 000 0502 0000000 000 000</t>
  </si>
  <si>
    <t>Расходы, осуществляемые за счет межбюджетных трансфертов из бюджетов субъектов Российской Федерации</t>
  </si>
  <si>
    <t>в том числе на: содержание в чистоте помещений, зданий, дворов, иного имущества</t>
  </si>
  <si>
    <t>Ежемесячное денежное вознаграждение за классное руководство</t>
  </si>
  <si>
    <t>12206 000 0000 0000000 000 226</t>
  </si>
  <si>
    <t>101,150</t>
  </si>
  <si>
    <t>101,382</t>
  </si>
  <si>
    <t>Поддержка жилищного хозяйства, всего</t>
  </si>
  <si>
    <t>12208 000 0000 0000000 000 226</t>
  </si>
  <si>
    <t>02500 000 0409 0000000 000 000</t>
  </si>
  <si>
    <t>101,261</t>
  </si>
  <si>
    <t>13  13 Исполнено консолидированный бюджет субъекта РФ</t>
  </si>
  <si>
    <t>101,386</t>
  </si>
  <si>
    <t>Поддержка дорожного хозяйства</t>
  </si>
  <si>
    <t>бюджетные кредиты, полученные из местного бюджета</t>
  </si>
  <si>
    <t>12310 000 0000 0000000 000 290</t>
  </si>
  <si>
    <t>в том числе: обеспечение мероприятий по капитальному ремонту многоквартирных домов</t>
  </si>
  <si>
    <t>Ремонт и содержание</t>
  </si>
  <si>
    <t>вознаграждение приемного родителя</t>
  </si>
  <si>
    <t>101,388</t>
  </si>
  <si>
    <t>101,225</t>
  </si>
  <si>
    <t>23  23 Исполнено бюджеты городских и сельских поселений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</si>
  <si>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</si>
  <si>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101,21</t>
  </si>
  <si>
    <t>101,154</t>
  </si>
  <si>
    <t>Ед. измерения: отчета -  руб.</t>
  </si>
  <si>
    <t>в том числе:                                                                                                       в сфере образования</t>
  </si>
  <si>
    <t>12201 000 0000 0000000 000 226</t>
  </si>
  <si>
    <t>08100 000 1004 0000000 000 000</t>
  </si>
  <si>
    <t>24  24 Исполнено бюджеты городских и сельских поселений (средства федерального бюджета)</t>
  </si>
  <si>
    <t>101,380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</si>
  <si>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</si>
  <si>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</si>
  <si>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</si>
  <si>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</si>
  <si>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</si>
  <si>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прочие выплаты</t>
  </si>
  <si>
    <t>13100 000 0700 0000000 000 000</t>
  </si>
  <si>
    <t>02920 000 0000 0000000 000 000</t>
  </si>
  <si>
    <t>12100 000 0000 0000000 000 225</t>
  </si>
  <si>
    <t>101,152</t>
  </si>
  <si>
    <t>101,29</t>
  </si>
  <si>
    <t>Муниципальные должности</t>
  </si>
  <si>
    <t>101,300</t>
  </si>
  <si>
    <t>101,248</t>
  </si>
  <si>
    <t>24300 000 0900 0000000 000 000</t>
  </si>
  <si>
    <t>03815 000 0702 4362100 000 000</t>
  </si>
  <si>
    <t>00200 000 0000 0000000 000 000</t>
  </si>
  <si>
    <t>101,112</t>
  </si>
  <si>
    <t>101,156</t>
  </si>
  <si>
    <t>10723 000 0000 0000000 000 000</t>
  </si>
  <si>
    <t>08701 000 0000 1001100 000 000</t>
  </si>
  <si>
    <t>101,304</t>
  </si>
  <si>
    <t>101,23</t>
  </si>
  <si>
    <t>101,116</t>
  </si>
  <si>
    <t>услуги в области информационных технологий</t>
  </si>
  <si>
    <t>00221 000 0000 0000000 000 212</t>
  </si>
  <si>
    <t>101,227</t>
  </si>
  <si>
    <t>101,133</t>
  </si>
  <si>
    <t>в сфере культуры и кинематографии</t>
  </si>
  <si>
    <t>101,229</t>
  </si>
  <si>
    <t>13600 000 0000 0000000 000 000</t>
  </si>
  <si>
    <t>09000 000 1003 1008820 000 000</t>
  </si>
  <si>
    <t>03600 000 0701 0000000 000 000</t>
  </si>
  <si>
    <t>Справка к месячному отчету на 01.07.2012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</si>
</sst>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60" workbookViewId="0" topLeftCell="A1">
      <selection activeCell="H14" sqref="H14"/>
    </sheetView>
  </sheetViews>
  <sheetFormatPr defaultColWidth="9.140625" defaultRowHeight="12.75"/>
  <cols>
    <col min="1" max="1" width="7.00390625" style="0" customWidth="1"/>
    <col min="2" max="2" width="29.57421875" style="0" customWidth="1"/>
    <col min="3" max="3" width="21.28125" style="0" customWidth="1"/>
    <col min="4" max="5" width="14.7109375" style="0" customWidth="1"/>
    <col min="6" max="6" width="15.421875" style="0" customWidth="1"/>
    <col min="7" max="7" width="13.00390625" style="0" customWidth="1"/>
    <col min="8" max="8" width="14.140625" style="0" customWidth="1"/>
    <col min="9" max="9" width="14.28125" style="0" customWidth="1"/>
    <col min="10" max="10" width="14.00390625" style="0" customWidth="1"/>
    <col min="11" max="11" width="13.57421875" style="0" customWidth="1"/>
    <col min="12" max="12" width="14.28125" style="0" customWidth="1"/>
    <col min="13" max="13" width="13.00390625" style="0" customWidth="1"/>
    <col min="14" max="14" width="13.421875" style="0" customWidth="1"/>
    <col min="15" max="15" width="12.8515625" style="0" customWidth="1"/>
    <col min="16" max="16" width="10.140625" style="0" customWidth="1"/>
  </cols>
  <sheetData>
    <row r="1" spans="1:15" ht="12.75" customHeight="1">
      <c r="A1" s="3"/>
      <c r="B1" s="4"/>
      <c r="C1" s="4"/>
      <c r="D1" s="4"/>
      <c r="E1" s="5" t="s">
        <v>194</v>
      </c>
      <c r="F1" s="4"/>
      <c r="G1" s="4"/>
      <c r="H1" s="4"/>
      <c r="I1" s="6" t="s">
        <v>251</v>
      </c>
      <c r="J1" s="4"/>
      <c r="K1" s="4"/>
      <c r="L1" s="4"/>
      <c r="N1" s="5"/>
      <c r="O1" s="4"/>
    </row>
    <row r="2" spans="1:15" ht="12.75" customHeight="1">
      <c r="A2" s="3"/>
      <c r="B2" s="4"/>
      <c r="C2" s="4"/>
      <c r="D2" s="4"/>
      <c r="E2" s="14" t="s">
        <v>290</v>
      </c>
      <c r="F2" s="4"/>
      <c r="G2" s="4"/>
      <c r="H2" s="4"/>
      <c r="I2" s="6" t="s">
        <v>137</v>
      </c>
      <c r="J2" s="4"/>
      <c r="K2" s="4"/>
      <c r="L2" s="4"/>
      <c r="N2" s="5"/>
      <c r="O2" s="4"/>
    </row>
    <row r="3" spans="1:15" ht="12.75">
      <c r="A3" s="3" t="s">
        <v>209</v>
      </c>
      <c r="B3" s="4"/>
      <c r="C3" s="4"/>
      <c r="D3" s="4"/>
      <c r="E3" s="5" t="s">
        <v>2</v>
      </c>
      <c r="F3" s="4"/>
      <c r="G3" s="4"/>
      <c r="H3" s="4"/>
      <c r="I3" s="3" t="s">
        <v>209</v>
      </c>
      <c r="J3" s="4"/>
      <c r="K3" s="4"/>
      <c r="L3" s="4"/>
      <c r="N3" s="5"/>
      <c r="O3" s="4"/>
    </row>
    <row r="4" spans="1:15" ht="99">
      <c r="A4" s="1" t="s">
        <v>62</v>
      </c>
      <c r="B4" s="1" t="s">
        <v>258</v>
      </c>
      <c r="C4" s="1" t="s">
        <v>170</v>
      </c>
      <c r="D4" s="1" t="s">
        <v>47</v>
      </c>
      <c r="E4" s="1" t="s">
        <v>195</v>
      </c>
      <c r="F4" s="1" t="s">
        <v>54</v>
      </c>
      <c r="G4" s="1" t="s">
        <v>257</v>
      </c>
      <c r="H4" s="1" t="s">
        <v>169</v>
      </c>
      <c r="I4" s="1" t="s">
        <v>216</v>
      </c>
      <c r="J4" s="1" t="s">
        <v>237</v>
      </c>
      <c r="K4" s="1" t="s">
        <v>140</v>
      </c>
      <c r="L4" s="1" t="s">
        <v>120</v>
      </c>
      <c r="M4" s="1" t="s">
        <v>180</v>
      </c>
      <c r="N4" s="1" t="s">
        <v>247</v>
      </c>
      <c r="O4" s="1" t="s">
        <v>255</v>
      </c>
    </row>
    <row r="5" spans="1:15" ht="45.75">
      <c r="A5" s="2" t="s">
        <v>249</v>
      </c>
      <c r="B5" s="7" t="s">
        <v>273</v>
      </c>
      <c r="C5" s="7" t="s">
        <v>49</v>
      </c>
      <c r="D5" s="8">
        <f>ROUND(78919806.65,2)</f>
        <v>78919806.65</v>
      </c>
      <c r="E5" s="8">
        <f aca="true" t="shared" si="0" ref="E5:E11">ROUND(0,2)</f>
        <v>0</v>
      </c>
      <c r="F5" s="8">
        <f>ROUND(34067186.65,2)</f>
        <v>34067186.65</v>
      </c>
      <c r="G5" s="8">
        <f aca="true" t="shared" si="1" ref="G5:G25">ROUND(0,2)</f>
        <v>0</v>
      </c>
      <c r="H5" s="8">
        <f>ROUND(44852620,2)</f>
        <v>44852620</v>
      </c>
      <c r="I5" s="8">
        <f aca="true" t="shared" si="2" ref="I5:I11">ROUND(0,2)</f>
        <v>0</v>
      </c>
      <c r="J5" s="8">
        <f>ROUND(39047197.89,2)</f>
        <v>39047197.89</v>
      </c>
      <c r="K5" s="8">
        <f aca="true" t="shared" si="3" ref="K5:K11">ROUND(0,2)</f>
        <v>0</v>
      </c>
      <c r="L5" s="8">
        <f>ROUND(16726626.36,2)</f>
        <v>16726626.36</v>
      </c>
      <c r="M5" s="8">
        <f aca="true" t="shared" si="4" ref="M5:M25">ROUND(0,2)</f>
        <v>0</v>
      </c>
      <c r="N5" s="8">
        <f>ROUND(22320571.53,2)</f>
        <v>22320571.53</v>
      </c>
      <c r="O5" s="8">
        <f aca="true" t="shared" si="5" ref="O5:O11">ROUND(0,2)</f>
        <v>0</v>
      </c>
    </row>
    <row r="6" spans="1:15" ht="23.25">
      <c r="A6" s="2" t="s">
        <v>109</v>
      </c>
      <c r="B6" s="7" t="s">
        <v>19</v>
      </c>
      <c r="C6" s="7" t="s">
        <v>204</v>
      </c>
      <c r="D6" s="8">
        <f>ROUND(45798500,2)</f>
        <v>45798500</v>
      </c>
      <c r="E6" s="8">
        <f t="shared" si="0"/>
        <v>0</v>
      </c>
      <c r="F6" s="8">
        <f>ROUND(21855700,2)</f>
        <v>21855700</v>
      </c>
      <c r="G6" s="8">
        <f t="shared" si="1"/>
        <v>0</v>
      </c>
      <c r="H6" s="8">
        <f>ROUND(23942800,2)</f>
        <v>23942800</v>
      </c>
      <c r="I6" s="8">
        <f t="shared" si="2"/>
        <v>0</v>
      </c>
      <c r="J6" s="8">
        <f>ROUND(20735112.57,2)</f>
        <v>20735112.57</v>
      </c>
      <c r="K6" s="8">
        <f t="shared" si="3"/>
        <v>0</v>
      </c>
      <c r="L6" s="8">
        <f>ROUND(9442165.92,2)</f>
        <v>9442165.92</v>
      </c>
      <c r="M6" s="8">
        <f t="shared" si="4"/>
        <v>0</v>
      </c>
      <c r="N6" s="8">
        <f>ROUND(11292946.65,2)</f>
        <v>11292946.65</v>
      </c>
      <c r="O6" s="8">
        <f t="shared" si="5"/>
        <v>0</v>
      </c>
    </row>
    <row r="7" spans="1:15" ht="57">
      <c r="A7" s="2" t="s">
        <v>279</v>
      </c>
      <c r="B7" s="7" t="s">
        <v>136</v>
      </c>
      <c r="C7" s="7" t="s">
        <v>217</v>
      </c>
      <c r="D7" s="8">
        <f>ROUND(45798500,2)</f>
        <v>45798500</v>
      </c>
      <c r="E7" s="8">
        <f t="shared" si="0"/>
        <v>0</v>
      </c>
      <c r="F7" s="8">
        <f>ROUND(21855700,2)</f>
        <v>21855700</v>
      </c>
      <c r="G7" s="8">
        <f t="shared" si="1"/>
        <v>0</v>
      </c>
      <c r="H7" s="8">
        <f>ROUND(23942800,2)</f>
        <v>23942800</v>
      </c>
      <c r="I7" s="8">
        <f t="shared" si="2"/>
        <v>0</v>
      </c>
      <c r="J7" s="8">
        <f>ROUND(20735112.57,2)</f>
        <v>20735112.57</v>
      </c>
      <c r="K7" s="8">
        <f t="shared" si="3"/>
        <v>0</v>
      </c>
      <c r="L7" s="8">
        <f>ROUND(9442165.92,2)</f>
        <v>9442165.92</v>
      </c>
      <c r="M7" s="8">
        <f t="shared" si="4"/>
        <v>0</v>
      </c>
      <c r="N7" s="8">
        <f>ROUND(11292946.65,2)</f>
        <v>11292946.65</v>
      </c>
      <c r="O7" s="8">
        <f t="shared" si="5"/>
        <v>0</v>
      </c>
    </row>
    <row r="8" spans="1:15" ht="23.25">
      <c r="A8" s="2" t="s">
        <v>220</v>
      </c>
      <c r="B8" s="7" t="s">
        <v>118</v>
      </c>
      <c r="C8" s="7" t="s">
        <v>262</v>
      </c>
      <c r="D8" s="8">
        <f>ROUND(6800,2)</f>
        <v>6800</v>
      </c>
      <c r="E8" s="8">
        <f t="shared" si="0"/>
        <v>0</v>
      </c>
      <c r="F8" s="8">
        <f>ROUND(0,2)</f>
        <v>0</v>
      </c>
      <c r="G8" s="8">
        <f t="shared" si="1"/>
        <v>0</v>
      </c>
      <c r="H8" s="8">
        <f>ROUND(6800,2)</f>
        <v>6800</v>
      </c>
      <c r="I8" s="8">
        <f t="shared" si="2"/>
        <v>0</v>
      </c>
      <c r="J8" s="8">
        <f>ROUND(0,2)</f>
        <v>0</v>
      </c>
      <c r="K8" s="8">
        <f t="shared" si="3"/>
        <v>0</v>
      </c>
      <c r="L8" s="8">
        <f>ROUND(0,2)</f>
        <v>0</v>
      </c>
      <c r="M8" s="8">
        <f t="shared" si="4"/>
        <v>0</v>
      </c>
      <c r="N8" s="8">
        <f>ROUND(0,2)</f>
        <v>0</v>
      </c>
      <c r="O8" s="8">
        <f t="shared" si="5"/>
        <v>0</v>
      </c>
    </row>
    <row r="9" spans="1:15" ht="57">
      <c r="A9" s="2" t="s">
        <v>129</v>
      </c>
      <c r="B9" s="7" t="s">
        <v>282</v>
      </c>
      <c r="C9" s="7" t="s">
        <v>217</v>
      </c>
      <c r="D9" s="8">
        <f>ROUND(6800,2)</f>
        <v>6800</v>
      </c>
      <c r="E9" s="8">
        <f t="shared" si="0"/>
        <v>0</v>
      </c>
      <c r="F9" s="8">
        <f>ROUND(0,2)</f>
        <v>0</v>
      </c>
      <c r="G9" s="8">
        <f t="shared" si="1"/>
        <v>0</v>
      </c>
      <c r="H9" s="8">
        <f>ROUND(6800,2)</f>
        <v>6800</v>
      </c>
      <c r="I9" s="8">
        <f t="shared" si="2"/>
        <v>0</v>
      </c>
      <c r="J9" s="8">
        <f>ROUND(0,2)</f>
        <v>0</v>
      </c>
      <c r="K9" s="8">
        <f t="shared" si="3"/>
        <v>0</v>
      </c>
      <c r="L9" s="8">
        <f>ROUND(0,2)</f>
        <v>0</v>
      </c>
      <c r="M9" s="8">
        <f t="shared" si="4"/>
        <v>0</v>
      </c>
      <c r="N9" s="8">
        <f>ROUND(0,2)</f>
        <v>0</v>
      </c>
      <c r="O9" s="8">
        <f t="shared" si="5"/>
        <v>0</v>
      </c>
    </row>
    <row r="10" spans="1:15" ht="34.5">
      <c r="A10" s="2" t="s">
        <v>132</v>
      </c>
      <c r="B10" s="7" t="s">
        <v>207</v>
      </c>
      <c r="C10" s="7" t="s">
        <v>52</v>
      </c>
      <c r="D10" s="8">
        <f>ROUND(13691273,2)</f>
        <v>13691273</v>
      </c>
      <c r="E10" s="8">
        <f t="shared" si="0"/>
        <v>0</v>
      </c>
      <c r="F10" s="8">
        <f>ROUND(6496373,2)</f>
        <v>6496373</v>
      </c>
      <c r="G10" s="8">
        <f t="shared" si="1"/>
        <v>0</v>
      </c>
      <c r="H10" s="8">
        <f>ROUND(7194900,2)</f>
        <v>7194900</v>
      </c>
      <c r="I10" s="8">
        <f t="shared" si="2"/>
        <v>0</v>
      </c>
      <c r="J10" s="8">
        <f>ROUND(5786722.89,2)</f>
        <v>5786722.89</v>
      </c>
      <c r="K10" s="8">
        <f t="shared" si="3"/>
        <v>0</v>
      </c>
      <c r="L10" s="8">
        <f>ROUND(2769564.85,2)</f>
        <v>2769564.85</v>
      </c>
      <c r="M10" s="8">
        <f t="shared" si="4"/>
        <v>0</v>
      </c>
      <c r="N10" s="8">
        <f>ROUND(3017158.04,2)</f>
        <v>3017158.04</v>
      </c>
      <c r="O10" s="8">
        <f t="shared" si="5"/>
        <v>0</v>
      </c>
    </row>
    <row r="11" spans="1:15" ht="57">
      <c r="A11" s="2" t="s">
        <v>267</v>
      </c>
      <c r="B11" s="7" t="s">
        <v>50</v>
      </c>
      <c r="C11" s="7" t="s">
        <v>217</v>
      </c>
      <c r="D11" s="8">
        <f>ROUND(13691273,2)</f>
        <v>13691273</v>
      </c>
      <c r="E11" s="8">
        <f t="shared" si="0"/>
        <v>0</v>
      </c>
      <c r="F11" s="8">
        <f>ROUND(6496373,2)</f>
        <v>6496373</v>
      </c>
      <c r="G11" s="8">
        <f t="shared" si="1"/>
        <v>0</v>
      </c>
      <c r="H11" s="8">
        <f>ROUND(7194900,2)</f>
        <v>7194900</v>
      </c>
      <c r="I11" s="8">
        <f t="shared" si="2"/>
        <v>0</v>
      </c>
      <c r="J11" s="8">
        <f>ROUND(5786722.89,2)</f>
        <v>5786722.89</v>
      </c>
      <c r="K11" s="8">
        <f t="shared" si="3"/>
        <v>0</v>
      </c>
      <c r="L11" s="8">
        <f>ROUND(2769564.85,2)</f>
        <v>2769564.85</v>
      </c>
      <c r="M11" s="8">
        <f t="shared" si="4"/>
        <v>0</v>
      </c>
      <c r="N11" s="8">
        <f>ROUND(3017158.04,2)</f>
        <v>3017158.04</v>
      </c>
      <c r="O11" s="8">
        <f t="shared" si="5"/>
        <v>0</v>
      </c>
    </row>
    <row r="12" spans="1:15" ht="57">
      <c r="A12" s="2" t="s">
        <v>212</v>
      </c>
      <c r="B12" s="7" t="s">
        <v>133</v>
      </c>
      <c r="C12" s="7" t="s">
        <v>26</v>
      </c>
      <c r="D12" s="8">
        <f>ROUND(1928900,2)</f>
        <v>1928900</v>
      </c>
      <c r="E12" s="8">
        <f>ROUND(1928900,2)</f>
        <v>1928900</v>
      </c>
      <c r="F12" s="8">
        <f aca="true" t="shared" si="6" ref="F12:F25">ROUND(0,2)</f>
        <v>0</v>
      </c>
      <c r="G12" s="8">
        <f t="shared" si="1"/>
        <v>0</v>
      </c>
      <c r="H12" s="8">
        <f>ROUND(1928900,2)</f>
        <v>1928900</v>
      </c>
      <c r="I12" s="8">
        <f>ROUND(1928900,2)</f>
        <v>1928900</v>
      </c>
      <c r="J12" s="8">
        <f>ROUND(567611.94,2)</f>
        <v>567611.94</v>
      </c>
      <c r="K12" s="8">
        <f>ROUND(567611.94,2)</f>
        <v>567611.94</v>
      </c>
      <c r="L12" s="8">
        <f aca="true" t="shared" si="7" ref="L12:L25">ROUND(0,2)</f>
        <v>0</v>
      </c>
      <c r="M12" s="8">
        <f t="shared" si="4"/>
        <v>0</v>
      </c>
      <c r="N12" s="8">
        <f>ROUND(567611.94,2)</f>
        <v>567611.94</v>
      </c>
      <c r="O12" s="8">
        <f>ROUND(567611.94,2)</f>
        <v>567611.94</v>
      </c>
    </row>
    <row r="13" spans="1:15" ht="23.25">
      <c r="A13" s="2" t="s">
        <v>139</v>
      </c>
      <c r="B13" s="7" t="s">
        <v>235</v>
      </c>
      <c r="C13" s="7" t="s">
        <v>239</v>
      </c>
      <c r="D13" s="8">
        <f>ROUND(8657176,2)</f>
        <v>8657176</v>
      </c>
      <c r="E13" s="8">
        <f aca="true" t="shared" si="8" ref="E13:E25">ROUND(0,2)</f>
        <v>0</v>
      </c>
      <c r="F13" s="8">
        <f t="shared" si="6"/>
        <v>0</v>
      </c>
      <c r="G13" s="8">
        <f t="shared" si="1"/>
        <v>0</v>
      </c>
      <c r="H13" s="8">
        <f>ROUND(8657176,2)</f>
        <v>8657176</v>
      </c>
      <c r="I13" s="8">
        <f aca="true" t="shared" si="9" ref="I13:K16">ROUND(0,2)</f>
        <v>0</v>
      </c>
      <c r="J13" s="8">
        <f t="shared" si="9"/>
        <v>0</v>
      </c>
      <c r="K13" s="8">
        <f t="shared" si="9"/>
        <v>0</v>
      </c>
      <c r="L13" s="8">
        <f t="shared" si="7"/>
        <v>0</v>
      </c>
      <c r="M13" s="8">
        <f t="shared" si="4"/>
        <v>0</v>
      </c>
      <c r="N13" s="8">
        <f aca="true" t="shared" si="10" ref="N13:O16">ROUND(0,2)</f>
        <v>0</v>
      </c>
      <c r="O13" s="8">
        <f t="shared" si="10"/>
        <v>0</v>
      </c>
    </row>
    <row r="14" spans="1:15" ht="113.25">
      <c r="A14" s="2" t="s">
        <v>14</v>
      </c>
      <c r="B14" s="7" t="s">
        <v>150</v>
      </c>
      <c r="C14" s="7" t="s">
        <v>261</v>
      </c>
      <c r="D14" s="8">
        <f>ROUND(8657176,2)</f>
        <v>8657176</v>
      </c>
      <c r="E14" s="8">
        <f t="shared" si="8"/>
        <v>0</v>
      </c>
      <c r="F14" s="8">
        <f t="shared" si="6"/>
        <v>0</v>
      </c>
      <c r="G14" s="8">
        <f t="shared" si="1"/>
        <v>0</v>
      </c>
      <c r="H14" s="8">
        <f>ROUND(8657176,2)</f>
        <v>8657176</v>
      </c>
      <c r="I14" s="8">
        <f t="shared" si="9"/>
        <v>0</v>
      </c>
      <c r="J14" s="8">
        <f t="shared" si="9"/>
        <v>0</v>
      </c>
      <c r="K14" s="8">
        <f t="shared" si="9"/>
        <v>0</v>
      </c>
      <c r="L14" s="8">
        <f t="shared" si="7"/>
        <v>0</v>
      </c>
      <c r="M14" s="8">
        <f t="shared" si="4"/>
        <v>0</v>
      </c>
      <c r="N14" s="8">
        <f t="shared" si="10"/>
        <v>0</v>
      </c>
      <c r="O14" s="8">
        <f t="shared" si="10"/>
        <v>0</v>
      </c>
    </row>
    <row r="15" spans="1:15" ht="23.25">
      <c r="A15" s="2" t="s">
        <v>9</v>
      </c>
      <c r="B15" s="7" t="s">
        <v>93</v>
      </c>
      <c r="C15" s="7" t="s">
        <v>243</v>
      </c>
      <c r="D15" s="8">
        <f>ROUND(8657176,2)</f>
        <v>8657176</v>
      </c>
      <c r="E15" s="8">
        <f t="shared" si="8"/>
        <v>0</v>
      </c>
      <c r="F15" s="8">
        <f t="shared" si="6"/>
        <v>0</v>
      </c>
      <c r="G15" s="8">
        <f t="shared" si="1"/>
        <v>0</v>
      </c>
      <c r="H15" s="8">
        <f>ROUND(8657176,2)</f>
        <v>8657176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7"/>
        <v>0</v>
      </c>
      <c r="M15" s="8">
        <f t="shared" si="4"/>
        <v>0</v>
      </c>
      <c r="N15" s="8">
        <f t="shared" si="10"/>
        <v>0</v>
      </c>
      <c r="O15" s="8">
        <f t="shared" si="10"/>
        <v>0</v>
      </c>
    </row>
    <row r="16" spans="1:15" ht="68.25">
      <c r="A16" s="2" t="s">
        <v>32</v>
      </c>
      <c r="B16" s="7" t="s">
        <v>1</v>
      </c>
      <c r="C16" s="7" t="s">
        <v>227</v>
      </c>
      <c r="D16" s="8">
        <f>ROUND(8388000,2)</f>
        <v>8388000</v>
      </c>
      <c r="E16" s="8">
        <f t="shared" si="8"/>
        <v>0</v>
      </c>
      <c r="F16" s="8">
        <f t="shared" si="6"/>
        <v>0</v>
      </c>
      <c r="G16" s="8">
        <f t="shared" si="1"/>
        <v>0</v>
      </c>
      <c r="H16" s="8">
        <f>ROUND(8388000,2)</f>
        <v>8388000</v>
      </c>
      <c r="I16" s="8">
        <f t="shared" si="9"/>
        <v>0</v>
      </c>
      <c r="J16" s="8">
        <f t="shared" si="9"/>
        <v>0</v>
      </c>
      <c r="K16" s="8">
        <f t="shared" si="9"/>
        <v>0</v>
      </c>
      <c r="L16" s="8">
        <f t="shared" si="7"/>
        <v>0</v>
      </c>
      <c r="M16" s="8">
        <f t="shared" si="4"/>
        <v>0</v>
      </c>
      <c r="N16" s="8">
        <f t="shared" si="10"/>
        <v>0</v>
      </c>
      <c r="O16" s="8">
        <f t="shared" si="10"/>
        <v>0</v>
      </c>
    </row>
    <row r="17" spans="1:15" ht="23.25">
      <c r="A17" s="2" t="s">
        <v>274</v>
      </c>
      <c r="B17" s="7" t="s">
        <v>153</v>
      </c>
      <c r="C17" s="7" t="s">
        <v>233</v>
      </c>
      <c r="D17" s="8">
        <f>ROUND(12449075,2)</f>
        <v>12449075</v>
      </c>
      <c r="E17" s="8">
        <f t="shared" si="8"/>
        <v>0</v>
      </c>
      <c r="F17" s="8">
        <f t="shared" si="6"/>
        <v>0</v>
      </c>
      <c r="G17" s="8">
        <f t="shared" si="1"/>
        <v>0</v>
      </c>
      <c r="H17" s="8">
        <f>ROUND(12449075,2)</f>
        <v>12449075</v>
      </c>
      <c r="I17" s="8">
        <f aca="true" t="shared" si="11" ref="I17:I25">ROUND(0,2)</f>
        <v>0</v>
      </c>
      <c r="J17" s="8">
        <f>ROUND(12449075,2)</f>
        <v>12449075</v>
      </c>
      <c r="K17" s="8">
        <f aca="true" t="shared" si="12" ref="K17:K25">ROUND(0,2)</f>
        <v>0</v>
      </c>
      <c r="L17" s="8">
        <f t="shared" si="7"/>
        <v>0</v>
      </c>
      <c r="M17" s="8">
        <f t="shared" si="4"/>
        <v>0</v>
      </c>
      <c r="N17" s="8">
        <f>ROUND(12449075,2)</f>
        <v>12449075</v>
      </c>
      <c r="O17" s="8">
        <f aca="true" t="shared" si="13" ref="O17:O25">ROUND(0,2)</f>
        <v>0</v>
      </c>
    </row>
    <row r="18" spans="1:15" ht="79.5">
      <c r="A18" s="2" t="s">
        <v>86</v>
      </c>
      <c r="B18" s="7" t="s">
        <v>111</v>
      </c>
      <c r="C18" s="7" t="s">
        <v>205</v>
      </c>
      <c r="D18" s="8">
        <f>ROUND(12354975,2)</f>
        <v>12354975</v>
      </c>
      <c r="E18" s="8">
        <f t="shared" si="8"/>
        <v>0</v>
      </c>
      <c r="F18" s="8">
        <f t="shared" si="6"/>
        <v>0</v>
      </c>
      <c r="G18" s="8">
        <f t="shared" si="1"/>
        <v>0</v>
      </c>
      <c r="H18" s="8">
        <f>ROUND(12354975,2)</f>
        <v>12354975</v>
      </c>
      <c r="I18" s="8">
        <f t="shared" si="11"/>
        <v>0</v>
      </c>
      <c r="J18" s="8">
        <f>ROUND(12354975,2)</f>
        <v>12354975</v>
      </c>
      <c r="K18" s="8">
        <f t="shared" si="12"/>
        <v>0</v>
      </c>
      <c r="L18" s="8">
        <f t="shared" si="7"/>
        <v>0</v>
      </c>
      <c r="M18" s="8">
        <f t="shared" si="4"/>
        <v>0</v>
      </c>
      <c r="N18" s="8">
        <f>ROUND(12354975,2)</f>
        <v>12354975</v>
      </c>
      <c r="O18" s="8">
        <f t="shared" si="13"/>
        <v>0</v>
      </c>
    </row>
    <row r="19" spans="1:15" ht="180.75">
      <c r="A19" s="2" t="s">
        <v>280</v>
      </c>
      <c r="B19" s="7" t="s">
        <v>40</v>
      </c>
      <c r="C19" s="7" t="s">
        <v>3</v>
      </c>
      <c r="D19" s="8">
        <f>ROUND(9084613,2)</f>
        <v>9084613</v>
      </c>
      <c r="E19" s="8">
        <f t="shared" si="8"/>
        <v>0</v>
      </c>
      <c r="F19" s="8">
        <f t="shared" si="6"/>
        <v>0</v>
      </c>
      <c r="G19" s="8">
        <f t="shared" si="1"/>
        <v>0</v>
      </c>
      <c r="H19" s="8">
        <f>ROUND(9084613,2)</f>
        <v>9084613</v>
      </c>
      <c r="I19" s="8">
        <f t="shared" si="11"/>
        <v>0</v>
      </c>
      <c r="J19" s="8">
        <f>ROUND(9084613,2)</f>
        <v>9084613</v>
      </c>
      <c r="K19" s="8">
        <f t="shared" si="12"/>
        <v>0</v>
      </c>
      <c r="L19" s="8">
        <f t="shared" si="7"/>
        <v>0</v>
      </c>
      <c r="M19" s="8">
        <f t="shared" si="4"/>
        <v>0</v>
      </c>
      <c r="N19" s="8">
        <f>ROUND(9084613,2)</f>
        <v>9084613</v>
      </c>
      <c r="O19" s="8">
        <f t="shared" si="13"/>
        <v>0</v>
      </c>
    </row>
    <row r="20" spans="1:15" ht="68.25">
      <c r="A20" s="2" t="s">
        <v>100</v>
      </c>
      <c r="B20" s="7" t="s">
        <v>79</v>
      </c>
      <c r="C20" s="7" t="s">
        <v>242</v>
      </c>
      <c r="D20" s="8">
        <f>ROUND(9084613,2)</f>
        <v>9084613</v>
      </c>
      <c r="E20" s="8">
        <f t="shared" si="8"/>
        <v>0</v>
      </c>
      <c r="F20" s="8">
        <f t="shared" si="6"/>
        <v>0</v>
      </c>
      <c r="G20" s="8">
        <f t="shared" si="1"/>
        <v>0</v>
      </c>
      <c r="H20" s="8">
        <f>ROUND(9084613,2)</f>
        <v>9084613</v>
      </c>
      <c r="I20" s="8">
        <f t="shared" si="11"/>
        <v>0</v>
      </c>
      <c r="J20" s="8">
        <f>ROUND(9084613,2)</f>
        <v>9084613</v>
      </c>
      <c r="K20" s="8">
        <f t="shared" si="12"/>
        <v>0</v>
      </c>
      <c r="L20" s="8">
        <f t="shared" si="7"/>
        <v>0</v>
      </c>
      <c r="M20" s="8">
        <f t="shared" si="4"/>
        <v>0</v>
      </c>
      <c r="N20" s="8">
        <f>ROUND(9084613,2)</f>
        <v>9084613</v>
      </c>
      <c r="O20" s="8">
        <f t="shared" si="13"/>
        <v>0</v>
      </c>
    </row>
    <row r="21" spans="1:15" ht="124.5">
      <c r="A21" s="2" t="s">
        <v>46</v>
      </c>
      <c r="B21" s="7" t="s">
        <v>264</v>
      </c>
      <c r="C21" s="7" t="s">
        <v>161</v>
      </c>
      <c r="D21" s="8">
        <f>ROUND(3270362,2)</f>
        <v>3270362</v>
      </c>
      <c r="E21" s="8">
        <f t="shared" si="8"/>
        <v>0</v>
      </c>
      <c r="F21" s="8">
        <f t="shared" si="6"/>
        <v>0</v>
      </c>
      <c r="G21" s="8">
        <f t="shared" si="1"/>
        <v>0</v>
      </c>
      <c r="H21" s="8">
        <f>ROUND(3270362,2)</f>
        <v>3270362</v>
      </c>
      <c r="I21" s="8">
        <f t="shared" si="11"/>
        <v>0</v>
      </c>
      <c r="J21" s="8">
        <f>ROUND(3270362,2)</f>
        <v>3270362</v>
      </c>
      <c r="K21" s="8">
        <f t="shared" si="12"/>
        <v>0</v>
      </c>
      <c r="L21" s="8">
        <f t="shared" si="7"/>
        <v>0</v>
      </c>
      <c r="M21" s="8">
        <f t="shared" si="4"/>
        <v>0</v>
      </c>
      <c r="N21" s="8">
        <f>ROUND(3270362,2)</f>
        <v>3270362</v>
      </c>
      <c r="O21" s="8">
        <f t="shared" si="13"/>
        <v>0</v>
      </c>
    </row>
    <row r="22" spans="1:15" ht="68.25">
      <c r="A22" s="2" t="s">
        <v>208</v>
      </c>
      <c r="B22" s="7" t="s">
        <v>138</v>
      </c>
      <c r="C22" s="7" t="s">
        <v>242</v>
      </c>
      <c r="D22" s="8">
        <f>ROUND(3270362,2)</f>
        <v>3270362</v>
      </c>
      <c r="E22" s="8">
        <f t="shared" si="8"/>
        <v>0</v>
      </c>
      <c r="F22" s="8">
        <f t="shared" si="6"/>
        <v>0</v>
      </c>
      <c r="G22" s="8">
        <f t="shared" si="1"/>
        <v>0</v>
      </c>
      <c r="H22" s="8">
        <f>ROUND(3270362,2)</f>
        <v>3270362</v>
      </c>
      <c r="I22" s="8">
        <f t="shared" si="11"/>
        <v>0</v>
      </c>
      <c r="J22" s="8">
        <f>ROUND(3270362,2)</f>
        <v>3270362</v>
      </c>
      <c r="K22" s="8">
        <f t="shared" si="12"/>
        <v>0</v>
      </c>
      <c r="L22" s="8">
        <f t="shared" si="7"/>
        <v>0</v>
      </c>
      <c r="M22" s="8">
        <f t="shared" si="4"/>
        <v>0</v>
      </c>
      <c r="N22" s="8">
        <f>ROUND(3270362,2)</f>
        <v>3270362</v>
      </c>
      <c r="O22" s="8">
        <f t="shared" si="13"/>
        <v>0</v>
      </c>
    </row>
    <row r="23" spans="1:15" ht="34.5">
      <c r="A23" s="2" t="s">
        <v>184</v>
      </c>
      <c r="B23" s="7" t="s">
        <v>226</v>
      </c>
      <c r="C23" s="7" t="s">
        <v>56</v>
      </c>
      <c r="D23" s="8">
        <f>ROUND(3464666,2)</f>
        <v>3464666</v>
      </c>
      <c r="E23" s="8">
        <f t="shared" si="8"/>
        <v>0</v>
      </c>
      <c r="F23" s="8">
        <f t="shared" si="6"/>
        <v>0</v>
      </c>
      <c r="G23" s="8">
        <f t="shared" si="1"/>
        <v>0</v>
      </c>
      <c r="H23" s="8">
        <f>ROUND(3464666,2)</f>
        <v>3464666</v>
      </c>
      <c r="I23" s="8">
        <f t="shared" si="11"/>
        <v>0</v>
      </c>
      <c r="J23" s="8">
        <f>ROUND(530789.31,2)</f>
        <v>530789.31</v>
      </c>
      <c r="K23" s="8">
        <f t="shared" si="12"/>
        <v>0</v>
      </c>
      <c r="L23" s="8">
        <f t="shared" si="7"/>
        <v>0</v>
      </c>
      <c r="M23" s="8">
        <f t="shared" si="4"/>
        <v>0</v>
      </c>
      <c r="N23" s="8">
        <f>ROUND(530789.31,2)</f>
        <v>530789.31</v>
      </c>
      <c r="O23" s="8">
        <f t="shared" si="13"/>
        <v>0</v>
      </c>
    </row>
    <row r="24" spans="1:15" ht="23.25">
      <c r="A24" s="2" t="s">
        <v>284</v>
      </c>
      <c r="B24" s="7" t="s">
        <v>174</v>
      </c>
      <c r="C24" s="7" t="s">
        <v>222</v>
      </c>
      <c r="D24" s="8">
        <f>ROUND(20258673.49,2)</f>
        <v>20258673.49</v>
      </c>
      <c r="E24" s="8">
        <f t="shared" si="8"/>
        <v>0</v>
      </c>
      <c r="F24" s="8">
        <f t="shared" si="6"/>
        <v>0</v>
      </c>
      <c r="G24" s="8">
        <f t="shared" si="1"/>
        <v>0</v>
      </c>
      <c r="H24" s="8">
        <f>ROUND(20258673.49,2)</f>
        <v>20258673.49</v>
      </c>
      <c r="I24" s="8">
        <f t="shared" si="11"/>
        <v>0</v>
      </c>
      <c r="J24" s="8">
        <f>ROUND(6816052.38,2)</f>
        <v>6816052.38</v>
      </c>
      <c r="K24" s="8">
        <f t="shared" si="12"/>
        <v>0</v>
      </c>
      <c r="L24" s="8">
        <f t="shared" si="7"/>
        <v>0</v>
      </c>
      <c r="M24" s="8">
        <f t="shared" si="4"/>
        <v>0</v>
      </c>
      <c r="N24" s="8">
        <f>ROUND(6816052.38,2)</f>
        <v>6816052.38</v>
      </c>
      <c r="O24" s="8">
        <f t="shared" si="13"/>
        <v>0</v>
      </c>
    </row>
    <row r="25" spans="1:15" ht="68.25">
      <c r="A25" s="2" t="s">
        <v>144</v>
      </c>
      <c r="B25" s="7" t="s">
        <v>289</v>
      </c>
      <c r="C25" s="7" t="s">
        <v>188</v>
      </c>
      <c r="D25" s="8">
        <f>ROUND(9006400,2)</f>
        <v>9006400</v>
      </c>
      <c r="E25" s="8">
        <f t="shared" si="8"/>
        <v>0</v>
      </c>
      <c r="F25" s="8">
        <f t="shared" si="6"/>
        <v>0</v>
      </c>
      <c r="G25" s="8">
        <f t="shared" si="1"/>
        <v>0</v>
      </c>
      <c r="H25" s="8">
        <f>ROUND(9006400,2)</f>
        <v>9006400</v>
      </c>
      <c r="I25" s="8">
        <f t="shared" si="11"/>
        <v>0</v>
      </c>
      <c r="J25" s="8">
        <f>ROUND(3966210.2,2)</f>
        <v>3966210.2</v>
      </c>
      <c r="K25" s="8">
        <f t="shared" si="12"/>
        <v>0</v>
      </c>
      <c r="L25" s="8">
        <f t="shared" si="7"/>
        <v>0</v>
      </c>
      <c r="M25" s="8">
        <f t="shared" si="4"/>
        <v>0</v>
      </c>
      <c r="N25" s="8">
        <f>ROUND(3966210.2,2)</f>
        <v>3966210.2</v>
      </c>
      <c r="O25" s="8">
        <f t="shared" si="13"/>
        <v>0</v>
      </c>
    </row>
    <row r="26" spans="1:15" ht="23.25">
      <c r="A26" s="2" t="s">
        <v>70</v>
      </c>
      <c r="B26" s="7" t="s">
        <v>24</v>
      </c>
      <c r="C26" s="7" t="s">
        <v>64</v>
      </c>
      <c r="D26" s="8">
        <f>ROUND(26103453.34,2)</f>
        <v>26103453.34</v>
      </c>
      <c r="E26" s="8">
        <f>ROUND(18520938,2)</f>
        <v>18520938</v>
      </c>
      <c r="F26" s="8">
        <f>ROUND(22318973.34,2)</f>
        <v>22318973.34</v>
      </c>
      <c r="G26" s="8">
        <f>ROUND(16524100,2)</f>
        <v>16524100</v>
      </c>
      <c r="H26" s="8">
        <f>ROUND(3784480,2)</f>
        <v>3784480</v>
      </c>
      <c r="I26" s="8">
        <f>ROUND(1996838,2)</f>
        <v>1996838</v>
      </c>
      <c r="J26" s="8">
        <f>ROUND(8036710.93,2)</f>
        <v>8036710.93</v>
      </c>
      <c r="K26" s="8">
        <f>ROUND(4239079.38,2)</f>
        <v>4239079.38</v>
      </c>
      <c r="L26" s="8">
        <f>ROUND(7296886.86,2)</f>
        <v>7296886.86</v>
      </c>
      <c r="M26" s="8">
        <f>ROUND(3986709.38,2)</f>
        <v>3986709.38</v>
      </c>
      <c r="N26" s="8">
        <f>ROUND(739824.07,2)</f>
        <v>739824.07</v>
      </c>
      <c r="O26" s="8">
        <f>ROUND(252370,2)</f>
        <v>252370</v>
      </c>
    </row>
    <row r="27" spans="1:15" ht="57">
      <c r="A27" s="2" t="s">
        <v>179</v>
      </c>
      <c r="B27" s="7" t="s">
        <v>85</v>
      </c>
      <c r="C27" s="7" t="s">
        <v>17</v>
      </c>
      <c r="D27" s="8">
        <f>ROUND(7582515.34,2)</f>
        <v>7582515.34</v>
      </c>
      <c r="E27" s="8">
        <f>ROUND(0,2)</f>
        <v>0</v>
      </c>
      <c r="F27" s="8">
        <f>ROUND(5794873.34,2)</f>
        <v>5794873.34</v>
      </c>
      <c r="G27" s="8">
        <f>ROUND(0,2)</f>
        <v>0</v>
      </c>
      <c r="H27" s="8">
        <f>ROUND(1787642,2)</f>
        <v>1787642</v>
      </c>
      <c r="I27" s="8">
        <f>ROUND(0,2)</f>
        <v>0</v>
      </c>
      <c r="J27" s="8">
        <f>ROUND(3797631.55,2)</f>
        <v>3797631.55</v>
      </c>
      <c r="K27" s="8">
        <f>ROUND(0,2)</f>
        <v>0</v>
      </c>
      <c r="L27" s="8">
        <f>ROUND(3310177.48,2)</f>
        <v>3310177.48</v>
      </c>
      <c r="M27" s="8">
        <f>ROUND(0,2)</f>
        <v>0</v>
      </c>
      <c r="N27" s="8">
        <f>ROUND(487454.07,2)</f>
        <v>487454.07</v>
      </c>
      <c r="O27" s="8">
        <f>ROUND(0,2)</f>
        <v>0</v>
      </c>
    </row>
    <row r="28" spans="1:15" ht="57">
      <c r="A28" s="2" t="s">
        <v>34</v>
      </c>
      <c r="B28" s="7" t="s">
        <v>186</v>
      </c>
      <c r="C28" s="7" t="s">
        <v>181</v>
      </c>
      <c r="D28" s="8">
        <f>ROUND(15945938,2)</f>
        <v>15945938</v>
      </c>
      <c r="E28" s="8">
        <f>ROUND(15945938,2)</f>
        <v>15945938</v>
      </c>
      <c r="F28" s="8">
        <f>ROUND(13949100,2)</f>
        <v>13949100</v>
      </c>
      <c r="G28" s="8">
        <f>ROUND(13949100,2)</f>
        <v>13949100</v>
      </c>
      <c r="H28" s="8">
        <f>ROUND(1996838,2)</f>
        <v>1996838</v>
      </c>
      <c r="I28" s="8">
        <f>ROUND(1996838,2)</f>
        <v>1996838</v>
      </c>
      <c r="J28" s="8">
        <f>ROUND(2907073.76,2)</f>
        <v>2907073.76</v>
      </c>
      <c r="K28" s="8">
        <f>ROUND(2907073.76,2)</f>
        <v>2907073.76</v>
      </c>
      <c r="L28" s="8">
        <f>ROUND(2654703.76,2)</f>
        <v>2654703.76</v>
      </c>
      <c r="M28" s="8">
        <f>ROUND(2654703.76,2)</f>
        <v>2654703.76</v>
      </c>
      <c r="N28" s="8">
        <f>ROUND(252370,2)</f>
        <v>252370</v>
      </c>
      <c r="O28" s="8">
        <f>ROUND(252370,2)</f>
        <v>252370</v>
      </c>
    </row>
    <row r="29" spans="1:15" ht="23.25">
      <c r="A29" s="2" t="s">
        <v>202</v>
      </c>
      <c r="B29" s="7" t="s">
        <v>57</v>
      </c>
      <c r="C29" s="7" t="s">
        <v>215</v>
      </c>
      <c r="D29" s="8">
        <f>ROUND(3156170.72,2)</f>
        <v>3156170.72</v>
      </c>
      <c r="E29" s="8">
        <f>ROUND(3156170.72,2)</f>
        <v>3156170.72</v>
      </c>
      <c r="F29" s="8">
        <f>ROUND(2556170.72,2)</f>
        <v>2556170.72</v>
      </c>
      <c r="G29" s="8">
        <f>ROUND(2556170.72,2)</f>
        <v>2556170.72</v>
      </c>
      <c r="H29" s="8">
        <f>ROUND(600000,2)</f>
        <v>600000</v>
      </c>
      <c r="I29" s="8">
        <f>ROUND(600000,2)</f>
        <v>600000</v>
      </c>
      <c r="J29" s="8">
        <f>ROUND(1130194.48,2)</f>
        <v>1130194.48</v>
      </c>
      <c r="K29" s="8">
        <f>ROUND(1130194.48,2)</f>
        <v>1130194.48</v>
      </c>
      <c r="L29" s="8">
        <f>ROUND(1130194.48,2)</f>
        <v>1130194.48</v>
      </c>
      <c r="M29" s="8">
        <f>ROUND(1130194.48,2)</f>
        <v>1130194.48</v>
      </c>
      <c r="N29" s="8">
        <f>ROUND(0,2)</f>
        <v>0</v>
      </c>
      <c r="O29" s="8">
        <f>ROUND(0,2)</f>
        <v>0</v>
      </c>
    </row>
    <row r="30" spans="1:15" ht="23.25">
      <c r="A30" s="2" t="s">
        <v>231</v>
      </c>
      <c r="B30" s="7" t="s">
        <v>98</v>
      </c>
      <c r="C30" s="7" t="s">
        <v>143</v>
      </c>
      <c r="D30" s="8">
        <f>ROUND(900000,2)</f>
        <v>900000</v>
      </c>
      <c r="E30" s="8">
        <f>ROUND(900000,2)</f>
        <v>900000</v>
      </c>
      <c r="F30" s="8">
        <f>ROUND(649000,2)</f>
        <v>649000</v>
      </c>
      <c r="G30" s="8">
        <f>ROUND(649000,2)</f>
        <v>649000</v>
      </c>
      <c r="H30" s="8">
        <f>ROUND(251000,2)</f>
        <v>251000</v>
      </c>
      <c r="I30" s="8">
        <f>ROUND(251000,2)</f>
        <v>251000</v>
      </c>
      <c r="J30" s="8">
        <f>ROUND(651435,2)</f>
        <v>651435</v>
      </c>
      <c r="K30" s="8">
        <f>ROUND(651435,2)</f>
        <v>651435</v>
      </c>
      <c r="L30" s="8">
        <f>ROUND(408000,2)</f>
        <v>408000</v>
      </c>
      <c r="M30" s="8">
        <f>ROUND(408000,2)</f>
        <v>408000</v>
      </c>
      <c r="N30" s="8">
        <f>ROUND(243435,2)</f>
        <v>243435</v>
      </c>
      <c r="O30" s="8">
        <f>ROUND(243435,2)</f>
        <v>243435</v>
      </c>
    </row>
    <row r="31" spans="1:15" ht="23.25">
      <c r="A31" s="2" t="s">
        <v>89</v>
      </c>
      <c r="B31" s="7" t="s">
        <v>127</v>
      </c>
      <c r="C31" s="7" t="s">
        <v>35</v>
      </c>
      <c r="D31" s="8">
        <f>ROUND(9294100,2)</f>
        <v>9294100</v>
      </c>
      <c r="E31" s="8">
        <f>ROUND(9294100,2)</f>
        <v>9294100</v>
      </c>
      <c r="F31" s="8">
        <f>ROUND(9294100,2)</f>
        <v>9294100</v>
      </c>
      <c r="G31" s="8">
        <f>ROUND(9294100,2)</f>
        <v>9294100</v>
      </c>
      <c r="H31" s="8">
        <f>ROUND(0,2)</f>
        <v>0</v>
      </c>
      <c r="I31" s="8">
        <f>ROUND(0,2)</f>
        <v>0</v>
      </c>
      <c r="J31" s="8">
        <f>ROUND(99000,2)</f>
        <v>99000</v>
      </c>
      <c r="K31" s="8">
        <f>ROUND(99000,2)</f>
        <v>99000</v>
      </c>
      <c r="L31" s="8">
        <f>ROUND(99000,2)</f>
        <v>99000</v>
      </c>
      <c r="M31" s="8">
        <f>ROUND(99000,2)</f>
        <v>99000</v>
      </c>
      <c r="N31" s="8">
        <f>ROUND(0,2)</f>
        <v>0</v>
      </c>
      <c r="O31" s="8">
        <f>ROUND(0,2)</f>
        <v>0</v>
      </c>
    </row>
    <row r="32" spans="1:15" ht="90.75">
      <c r="A32" s="2" t="s">
        <v>266</v>
      </c>
      <c r="B32" s="7" t="s">
        <v>272</v>
      </c>
      <c r="C32" s="7" t="s">
        <v>115</v>
      </c>
      <c r="D32" s="8">
        <f>ROUND(691000,2)</f>
        <v>691000</v>
      </c>
      <c r="E32" s="8">
        <f>ROUND(691000,2)</f>
        <v>691000</v>
      </c>
      <c r="F32" s="8">
        <f>ROUND(632000,2)</f>
        <v>632000</v>
      </c>
      <c r="G32" s="8">
        <f>ROUND(632000,2)</f>
        <v>632000</v>
      </c>
      <c r="H32" s="8">
        <f>ROUND(59000,2)</f>
        <v>59000</v>
      </c>
      <c r="I32" s="8">
        <f>ROUND(59000,2)</f>
        <v>59000</v>
      </c>
      <c r="J32" s="8">
        <f>ROUND(208615,2)</f>
        <v>208615</v>
      </c>
      <c r="K32" s="8">
        <f>ROUND(208615,2)</f>
        <v>208615</v>
      </c>
      <c r="L32" s="8">
        <f>ROUND(199680,2)</f>
        <v>199680</v>
      </c>
      <c r="M32" s="8">
        <f>ROUND(199680,2)</f>
        <v>199680</v>
      </c>
      <c r="N32" s="8">
        <f>ROUND(8935,2)</f>
        <v>8935</v>
      </c>
      <c r="O32" s="8">
        <f>ROUND(8935,2)</f>
        <v>8935</v>
      </c>
    </row>
    <row r="33" spans="1:15" ht="34.5">
      <c r="A33" s="2" t="s">
        <v>250</v>
      </c>
      <c r="B33" s="7" t="s">
        <v>135</v>
      </c>
      <c r="C33" s="7" t="s">
        <v>156</v>
      </c>
      <c r="D33" s="8">
        <f>ROUND(25980.25,2)</f>
        <v>25980.25</v>
      </c>
      <c r="E33" s="8">
        <f>ROUND(25980.25,2)</f>
        <v>25980.25</v>
      </c>
      <c r="F33" s="8">
        <f>ROUND(25980.25,2)</f>
        <v>25980.25</v>
      </c>
      <c r="G33" s="8">
        <f>ROUND(25980.25,2)</f>
        <v>25980.25</v>
      </c>
      <c r="H33" s="8">
        <f aca="true" t="shared" si="14" ref="H33:I35">ROUND(0,2)</f>
        <v>0</v>
      </c>
      <c r="I33" s="8">
        <f t="shared" si="14"/>
        <v>0</v>
      </c>
      <c r="J33" s="8">
        <f>ROUND(25980.25,2)</f>
        <v>25980.25</v>
      </c>
      <c r="K33" s="8">
        <f>ROUND(25980.25,2)</f>
        <v>25980.25</v>
      </c>
      <c r="L33" s="8">
        <f>ROUND(25980.25,2)</f>
        <v>25980.25</v>
      </c>
      <c r="M33" s="8">
        <f>ROUND(25980.25,2)</f>
        <v>25980.25</v>
      </c>
      <c r="N33" s="8">
        <f aca="true" t="shared" si="15" ref="N33:O40">ROUND(0,2)</f>
        <v>0</v>
      </c>
      <c r="O33" s="8">
        <f t="shared" si="15"/>
        <v>0</v>
      </c>
    </row>
    <row r="34" spans="1:15" ht="45.75">
      <c r="A34" s="2" t="s">
        <v>83</v>
      </c>
      <c r="B34" s="7" t="s">
        <v>23</v>
      </c>
      <c r="C34" s="7" t="s">
        <v>12</v>
      </c>
      <c r="D34" s="8">
        <f>ROUND(791849.03,2)</f>
        <v>791849.03</v>
      </c>
      <c r="E34" s="8">
        <f>ROUND(791849.03,2)</f>
        <v>791849.03</v>
      </c>
      <c r="F34" s="8">
        <f>ROUND(791849.03,2)</f>
        <v>791849.03</v>
      </c>
      <c r="G34" s="8">
        <f>ROUND(791849.03,2)</f>
        <v>791849.03</v>
      </c>
      <c r="H34" s="8">
        <f t="shared" si="14"/>
        <v>0</v>
      </c>
      <c r="I34" s="8">
        <f t="shared" si="14"/>
        <v>0</v>
      </c>
      <c r="J34" s="8">
        <f>ROUND(791849.03,2)</f>
        <v>791849.03</v>
      </c>
      <c r="K34" s="8">
        <f>ROUND(791849.03,2)</f>
        <v>791849.03</v>
      </c>
      <c r="L34" s="8">
        <f>ROUND(791849.03,2)</f>
        <v>791849.03</v>
      </c>
      <c r="M34" s="8">
        <f>ROUND(791849.03,2)</f>
        <v>791849.03</v>
      </c>
      <c r="N34" s="8">
        <f t="shared" si="15"/>
        <v>0</v>
      </c>
      <c r="O34" s="8">
        <f t="shared" si="15"/>
        <v>0</v>
      </c>
    </row>
    <row r="35" spans="1:15" ht="45.75">
      <c r="A35" s="2" t="s">
        <v>275</v>
      </c>
      <c r="B35" s="7" t="s">
        <v>106</v>
      </c>
      <c r="C35" s="7" t="s">
        <v>229</v>
      </c>
      <c r="D35" s="8">
        <f>ROUND(2575000,2)</f>
        <v>2575000</v>
      </c>
      <c r="E35" s="8">
        <f>ROUND(2575000,2)</f>
        <v>2575000</v>
      </c>
      <c r="F35" s="8">
        <f>ROUND(2575000,2)</f>
        <v>2575000</v>
      </c>
      <c r="G35" s="8">
        <f>ROUND(2575000,2)</f>
        <v>2575000</v>
      </c>
      <c r="H35" s="8">
        <f t="shared" si="14"/>
        <v>0</v>
      </c>
      <c r="I35" s="8">
        <f t="shared" si="14"/>
        <v>0</v>
      </c>
      <c r="J35" s="8">
        <f>ROUND(1332005.62,2)</f>
        <v>1332005.62</v>
      </c>
      <c r="K35" s="8">
        <f>ROUND(1332005.62,2)</f>
        <v>1332005.62</v>
      </c>
      <c r="L35" s="8">
        <f>ROUND(1332005.62,2)</f>
        <v>1332005.62</v>
      </c>
      <c r="M35" s="8">
        <f>ROUND(1332005.62,2)</f>
        <v>1332005.62</v>
      </c>
      <c r="N35" s="8">
        <f t="shared" si="15"/>
        <v>0</v>
      </c>
      <c r="O35" s="8">
        <f t="shared" si="15"/>
        <v>0</v>
      </c>
    </row>
    <row r="36" spans="1:15" ht="23.25">
      <c r="A36" s="2" t="s">
        <v>108</v>
      </c>
      <c r="B36" s="7" t="s">
        <v>73</v>
      </c>
      <c r="C36" s="7" t="s">
        <v>48</v>
      </c>
      <c r="D36" s="8">
        <f>ROUND(3642025,2)</f>
        <v>3642025</v>
      </c>
      <c r="E36" s="8">
        <f>ROUND(0,2)</f>
        <v>0</v>
      </c>
      <c r="F36" s="8">
        <f>ROUND(3518990,2)</f>
        <v>3518990</v>
      </c>
      <c r="G36" s="8">
        <f>ROUND(0,2)</f>
        <v>0</v>
      </c>
      <c r="H36" s="8">
        <f>ROUND(123035,2)</f>
        <v>123035</v>
      </c>
      <c r="I36" s="8">
        <f>ROUND(0,2)</f>
        <v>0</v>
      </c>
      <c r="J36" s="8">
        <f>ROUND(1610083,2)</f>
        <v>1610083</v>
      </c>
      <c r="K36" s="8">
        <f>ROUND(0,2)</f>
        <v>0</v>
      </c>
      <c r="L36" s="8">
        <f>ROUND(1610083,2)</f>
        <v>1610083</v>
      </c>
      <c r="M36" s="8">
        <f>ROUND(0,2)</f>
        <v>0</v>
      </c>
      <c r="N36" s="8">
        <f t="shared" si="15"/>
        <v>0</v>
      </c>
      <c r="O36" s="8">
        <f t="shared" si="15"/>
        <v>0</v>
      </c>
    </row>
    <row r="37" spans="1:15" ht="45.75">
      <c r="A37" s="2" t="s">
        <v>5</v>
      </c>
      <c r="B37" s="7" t="s">
        <v>176</v>
      </c>
      <c r="C37" s="7" t="s">
        <v>8</v>
      </c>
      <c r="D37" s="8">
        <f>ROUND(3642025,2)</f>
        <v>3642025</v>
      </c>
      <c r="E37" s="8">
        <f>ROUND(0,2)</f>
        <v>0</v>
      </c>
      <c r="F37" s="8">
        <f>ROUND(3518990,2)</f>
        <v>3518990</v>
      </c>
      <c r="G37" s="8">
        <f>ROUND(0,2)</f>
        <v>0</v>
      </c>
      <c r="H37" s="8">
        <f>ROUND(123035,2)</f>
        <v>123035</v>
      </c>
      <c r="I37" s="8">
        <f>ROUND(0,2)</f>
        <v>0</v>
      </c>
      <c r="J37" s="8">
        <f>ROUND(1610083,2)</f>
        <v>1610083</v>
      </c>
      <c r="K37" s="8">
        <f>ROUND(0,2)</f>
        <v>0</v>
      </c>
      <c r="L37" s="8">
        <f>ROUND(1610083,2)</f>
        <v>1610083</v>
      </c>
      <c r="M37" s="8">
        <f>ROUND(0,2)</f>
        <v>0</v>
      </c>
      <c r="N37" s="8">
        <f t="shared" si="15"/>
        <v>0</v>
      </c>
      <c r="O37" s="8">
        <f t="shared" si="15"/>
        <v>0</v>
      </c>
    </row>
    <row r="38" spans="1:15" ht="34.5">
      <c r="A38" s="2" t="s">
        <v>39</v>
      </c>
      <c r="B38" s="7" t="s">
        <v>155</v>
      </c>
      <c r="C38" s="7" t="s">
        <v>146</v>
      </c>
      <c r="D38" s="8">
        <f>ROUND(150500,2)</f>
        <v>150500</v>
      </c>
      <c r="E38" s="8">
        <f>ROUND(146200,2)</f>
        <v>146200</v>
      </c>
      <c r="F38" s="8">
        <f>ROUND(0,2)</f>
        <v>0</v>
      </c>
      <c r="G38" s="8">
        <f>ROUND(0,2)</f>
        <v>0</v>
      </c>
      <c r="H38" s="8">
        <f>ROUND(150500,2)</f>
        <v>150500</v>
      </c>
      <c r="I38" s="8">
        <f>ROUND(146200,2)</f>
        <v>146200</v>
      </c>
      <c r="J38" s="8">
        <f>ROUND(0,2)</f>
        <v>0</v>
      </c>
      <c r="K38" s="8">
        <f>ROUND(0,2)</f>
        <v>0</v>
      </c>
      <c r="L38" s="8">
        <f>ROUND(0,2)</f>
        <v>0</v>
      </c>
      <c r="M38" s="8">
        <f>ROUND(0,2)</f>
        <v>0</v>
      </c>
      <c r="N38" s="8">
        <f t="shared" si="15"/>
        <v>0</v>
      </c>
      <c r="O38" s="8">
        <f t="shared" si="15"/>
        <v>0</v>
      </c>
    </row>
    <row r="39" spans="1:15" ht="102">
      <c r="A39" s="2" t="s">
        <v>213</v>
      </c>
      <c r="B39" s="7" t="s">
        <v>173</v>
      </c>
      <c r="C39" s="7" t="s">
        <v>103</v>
      </c>
      <c r="D39" s="8">
        <f>ROUND(150500,2)</f>
        <v>150500</v>
      </c>
      <c r="E39" s="8">
        <f>ROUND(146200,2)</f>
        <v>146200</v>
      </c>
      <c r="F39" s="8">
        <f>ROUND(0,2)</f>
        <v>0</v>
      </c>
      <c r="G39" s="8">
        <f>ROUND(0,2)</f>
        <v>0</v>
      </c>
      <c r="H39" s="8">
        <f>ROUND(150500,2)</f>
        <v>150500</v>
      </c>
      <c r="I39" s="8">
        <f>ROUND(146200,2)</f>
        <v>146200</v>
      </c>
      <c r="J39" s="8">
        <f>ROUND(0,2)</f>
        <v>0</v>
      </c>
      <c r="K39" s="8">
        <f>ROUND(0,2)</f>
        <v>0</v>
      </c>
      <c r="L39" s="8">
        <f>ROUND(0,2)</f>
        <v>0</v>
      </c>
      <c r="M39" s="8">
        <f>ROUND(0,2)</f>
        <v>0</v>
      </c>
      <c r="N39" s="8">
        <f t="shared" si="15"/>
        <v>0</v>
      </c>
      <c r="O39" s="8">
        <f t="shared" si="15"/>
        <v>0</v>
      </c>
    </row>
    <row r="40" spans="1:15" ht="102">
      <c r="A40" s="2" t="s">
        <v>190</v>
      </c>
      <c r="B40" s="7" t="s">
        <v>175</v>
      </c>
      <c r="C40" s="7" t="s">
        <v>51</v>
      </c>
      <c r="D40" s="8">
        <f>ROUND(2730000,2)</f>
        <v>2730000</v>
      </c>
      <c r="E40" s="8">
        <f>ROUND(2730000,2)</f>
        <v>2730000</v>
      </c>
      <c r="F40" s="8">
        <f>ROUND(2730000,2)</f>
        <v>2730000</v>
      </c>
      <c r="G40" s="8">
        <f>ROUND(2730000,2)</f>
        <v>2730000</v>
      </c>
      <c r="H40" s="8">
        <f>ROUND(0,2)</f>
        <v>0</v>
      </c>
      <c r="I40" s="8">
        <f>ROUND(0,2)</f>
        <v>0</v>
      </c>
      <c r="J40" s="8">
        <f>ROUND(957836.03,2)</f>
        <v>957836.03</v>
      </c>
      <c r="K40" s="8">
        <f>ROUND(957836.03,2)</f>
        <v>957836.03</v>
      </c>
      <c r="L40" s="8">
        <f>ROUND(957836.03,2)</f>
        <v>957836.03</v>
      </c>
      <c r="M40" s="8">
        <f>ROUND(957836.03,2)</f>
        <v>957836.03</v>
      </c>
      <c r="N40" s="8">
        <f t="shared" si="15"/>
        <v>0</v>
      </c>
      <c r="O40" s="8">
        <f t="shared" si="15"/>
        <v>0</v>
      </c>
    </row>
    <row r="41" spans="1:15" ht="23.25">
      <c r="A41" s="2" t="s">
        <v>187</v>
      </c>
      <c r="B41" s="7" t="s">
        <v>206</v>
      </c>
      <c r="C41" s="7" t="s">
        <v>76</v>
      </c>
      <c r="D41" s="8">
        <f>ROUND(24435516,2)</f>
        <v>24435516</v>
      </c>
      <c r="E41" s="8">
        <f>ROUND(3562150,2)</f>
        <v>3562150</v>
      </c>
      <c r="F41" s="8">
        <f>ROUND(22385425,2)</f>
        <v>22385425</v>
      </c>
      <c r="G41" s="8">
        <f>ROUND(3562150,2)</f>
        <v>3562150</v>
      </c>
      <c r="H41" s="8">
        <f>ROUND(2050091,2)</f>
        <v>2050091</v>
      </c>
      <c r="I41" s="8">
        <f aca="true" t="shared" si="16" ref="I41:I72">ROUND(0,2)</f>
        <v>0</v>
      </c>
      <c r="J41" s="8">
        <f>ROUND(14325014.64,2)</f>
        <v>14325014.64</v>
      </c>
      <c r="K41" s="8">
        <f>ROUND(2407423.28,2)</f>
        <v>2407423.28</v>
      </c>
      <c r="L41" s="8">
        <f>ROUND(12615734.07,2)</f>
        <v>12615734.07</v>
      </c>
      <c r="M41" s="8">
        <f>ROUND(2407423.28,2)</f>
        <v>2407423.28</v>
      </c>
      <c r="N41" s="8">
        <f>ROUND(1709280.57,2)</f>
        <v>1709280.57</v>
      </c>
      <c r="O41" s="8">
        <f aca="true" t="shared" si="17" ref="O41:O61">ROUND(0,2)</f>
        <v>0</v>
      </c>
    </row>
    <row r="42" spans="1:15" ht="23.25">
      <c r="A42" s="2" t="s">
        <v>53</v>
      </c>
      <c r="B42" s="7" t="s">
        <v>201</v>
      </c>
      <c r="C42" s="7" t="s">
        <v>78</v>
      </c>
      <c r="D42" s="8">
        <f>ROUND(3749156,2)</f>
        <v>3749156</v>
      </c>
      <c r="E42" s="8">
        <f>ROUND(0,2)</f>
        <v>0</v>
      </c>
      <c r="F42" s="8">
        <f>ROUND(2608000,2)</f>
        <v>2608000</v>
      </c>
      <c r="G42" s="8">
        <f>ROUND(0,2)</f>
        <v>0</v>
      </c>
      <c r="H42" s="8">
        <f>ROUND(1141156,2)</f>
        <v>1141156</v>
      </c>
      <c r="I42" s="8">
        <f t="shared" si="16"/>
        <v>0</v>
      </c>
      <c r="J42" s="8">
        <f>ROUND(3594130.19,2)</f>
        <v>3594130.19</v>
      </c>
      <c r="K42" s="8">
        <f>ROUND(0,2)</f>
        <v>0</v>
      </c>
      <c r="L42" s="8">
        <f>ROUND(2595392.68,2)</f>
        <v>2595392.68</v>
      </c>
      <c r="M42" s="8">
        <f>ROUND(0,2)</f>
        <v>0</v>
      </c>
      <c r="N42" s="8">
        <f>ROUND(998737.51,2)</f>
        <v>998737.51</v>
      </c>
      <c r="O42" s="8">
        <f t="shared" si="17"/>
        <v>0</v>
      </c>
    </row>
    <row r="43" spans="1:15" ht="135.75">
      <c r="A43" s="2" t="s">
        <v>75</v>
      </c>
      <c r="B43" s="7" t="s">
        <v>82</v>
      </c>
      <c r="C43" s="7" t="s">
        <v>145</v>
      </c>
      <c r="D43" s="8">
        <f>ROUND(2400000,2)</f>
        <v>2400000</v>
      </c>
      <c r="E43" s="8">
        <f>ROUND(0,2)</f>
        <v>0</v>
      </c>
      <c r="F43" s="8">
        <f>ROUND(2400000,2)</f>
        <v>2400000</v>
      </c>
      <c r="G43" s="8">
        <f>ROUND(0,2)</f>
        <v>0</v>
      </c>
      <c r="H43" s="8">
        <f aca="true" t="shared" si="18" ref="H43:H54">ROUND(0,2)</f>
        <v>0</v>
      </c>
      <c r="I43" s="8">
        <f t="shared" si="16"/>
        <v>0</v>
      </c>
      <c r="J43" s="8">
        <f>ROUND(0,2)</f>
        <v>0</v>
      </c>
      <c r="K43" s="8">
        <f>ROUND(0,2)</f>
        <v>0</v>
      </c>
      <c r="L43" s="8">
        <f>ROUND(0,2)</f>
        <v>0</v>
      </c>
      <c r="M43" s="8">
        <f>ROUND(0,2)</f>
        <v>0</v>
      </c>
      <c r="N43" s="8">
        <f aca="true" t="shared" si="19" ref="N43:N54">ROUND(0,2)</f>
        <v>0</v>
      </c>
      <c r="O43" s="8">
        <f t="shared" si="17"/>
        <v>0</v>
      </c>
    </row>
    <row r="44" spans="1:15" ht="79.5">
      <c r="A44" s="2" t="s">
        <v>246</v>
      </c>
      <c r="B44" s="7" t="s">
        <v>81</v>
      </c>
      <c r="C44" s="7" t="s">
        <v>0</v>
      </c>
      <c r="D44" s="8">
        <f>ROUND(251800,2)</f>
        <v>251800</v>
      </c>
      <c r="E44" s="8">
        <f>ROUND(251800,2)</f>
        <v>251800</v>
      </c>
      <c r="F44" s="8">
        <f>ROUND(251800,2)</f>
        <v>251800</v>
      </c>
      <c r="G44" s="8">
        <f>ROUND(251800,2)</f>
        <v>251800</v>
      </c>
      <c r="H44" s="8">
        <f t="shared" si="18"/>
        <v>0</v>
      </c>
      <c r="I44" s="8">
        <f t="shared" si="16"/>
        <v>0</v>
      </c>
      <c r="J44" s="8">
        <f>ROUND(49621.28,2)</f>
        <v>49621.28</v>
      </c>
      <c r="K44" s="8">
        <f>ROUND(49621.28,2)</f>
        <v>49621.28</v>
      </c>
      <c r="L44" s="8">
        <f>ROUND(49621.28,2)</f>
        <v>49621.28</v>
      </c>
      <c r="M44" s="8">
        <f>ROUND(49621.28,2)</f>
        <v>49621.28</v>
      </c>
      <c r="N44" s="8">
        <f t="shared" si="19"/>
        <v>0</v>
      </c>
      <c r="O44" s="8">
        <f t="shared" si="17"/>
        <v>0</v>
      </c>
    </row>
    <row r="45" spans="1:15" ht="113.25">
      <c r="A45" s="2" t="s">
        <v>283</v>
      </c>
      <c r="B45" s="7" t="s">
        <v>254</v>
      </c>
      <c r="C45" s="7" t="s">
        <v>41</v>
      </c>
      <c r="D45" s="8">
        <f>ROUND(1762000,2)</f>
        <v>1762000</v>
      </c>
      <c r="E45" s="8">
        <f>ROUND(0,2)</f>
        <v>0</v>
      </c>
      <c r="F45" s="8">
        <f>ROUND(1762000,2)</f>
        <v>1762000</v>
      </c>
      <c r="G45" s="8">
        <f>ROUND(0,2)</f>
        <v>0</v>
      </c>
      <c r="H45" s="8">
        <f t="shared" si="18"/>
        <v>0</v>
      </c>
      <c r="I45" s="8">
        <f t="shared" si="16"/>
        <v>0</v>
      </c>
      <c r="J45" s="8">
        <f>ROUND(949785.33,2)</f>
        <v>949785.33</v>
      </c>
      <c r="K45" s="8">
        <f>ROUND(0,2)</f>
        <v>0</v>
      </c>
      <c r="L45" s="8">
        <f>ROUND(949785.33,2)</f>
        <v>949785.33</v>
      </c>
      <c r="M45" s="8">
        <f>ROUND(0,2)</f>
        <v>0</v>
      </c>
      <c r="N45" s="8">
        <f t="shared" si="19"/>
        <v>0</v>
      </c>
      <c r="O45" s="8">
        <f t="shared" si="17"/>
        <v>0</v>
      </c>
    </row>
    <row r="46" spans="1:15" ht="79.5">
      <c r="A46" s="2" t="s">
        <v>117</v>
      </c>
      <c r="B46" s="7" t="s">
        <v>225</v>
      </c>
      <c r="C46" s="7" t="s">
        <v>121</v>
      </c>
      <c r="D46" s="8">
        <f>ROUND(9726000,2)</f>
        <v>9726000</v>
      </c>
      <c r="E46" s="8">
        <f>ROUND(0,2)</f>
        <v>0</v>
      </c>
      <c r="F46" s="8">
        <f>ROUND(9726000,2)</f>
        <v>9726000</v>
      </c>
      <c r="G46" s="8">
        <f>ROUND(0,2)</f>
        <v>0</v>
      </c>
      <c r="H46" s="8">
        <f t="shared" si="18"/>
        <v>0</v>
      </c>
      <c r="I46" s="8">
        <f t="shared" si="16"/>
        <v>0</v>
      </c>
      <c r="J46" s="8">
        <f>ROUND(4912981.67,2)</f>
        <v>4912981.67</v>
      </c>
      <c r="K46" s="8">
        <f>ROUND(0,2)</f>
        <v>0</v>
      </c>
      <c r="L46" s="8">
        <f>ROUND(4912981.67,2)</f>
        <v>4912981.67</v>
      </c>
      <c r="M46" s="8">
        <f>ROUND(0,2)</f>
        <v>0</v>
      </c>
      <c r="N46" s="8">
        <f t="shared" si="19"/>
        <v>0</v>
      </c>
      <c r="O46" s="8">
        <f t="shared" si="17"/>
        <v>0</v>
      </c>
    </row>
    <row r="47" spans="1:15" ht="45.75">
      <c r="A47" s="2" t="s">
        <v>286</v>
      </c>
      <c r="B47" s="7" t="s">
        <v>92</v>
      </c>
      <c r="C47" s="7" t="s">
        <v>141</v>
      </c>
      <c r="D47" s="8">
        <f>ROUND(1362000,2)</f>
        <v>1362000</v>
      </c>
      <c r="E47" s="8">
        <f>ROUND(0,2)</f>
        <v>0</v>
      </c>
      <c r="F47" s="8">
        <f>ROUND(1362000,2)</f>
        <v>1362000</v>
      </c>
      <c r="G47" s="8">
        <f>ROUND(0,2)</f>
        <v>0</v>
      </c>
      <c r="H47" s="8">
        <f t="shared" si="18"/>
        <v>0</v>
      </c>
      <c r="I47" s="8">
        <f t="shared" si="16"/>
        <v>0</v>
      </c>
      <c r="J47" s="8">
        <f>ROUND(758696.78,2)</f>
        <v>758696.78</v>
      </c>
      <c r="K47" s="8">
        <f>ROUND(0,2)</f>
        <v>0</v>
      </c>
      <c r="L47" s="8">
        <f>ROUND(758696.78,2)</f>
        <v>758696.78</v>
      </c>
      <c r="M47" s="8">
        <f>ROUND(0,2)</f>
        <v>0</v>
      </c>
      <c r="N47" s="8">
        <f t="shared" si="19"/>
        <v>0</v>
      </c>
      <c r="O47" s="8">
        <f t="shared" si="17"/>
        <v>0</v>
      </c>
    </row>
    <row r="48" spans="1:15" ht="23.25">
      <c r="A48" s="2" t="s">
        <v>20</v>
      </c>
      <c r="B48" s="7" t="s">
        <v>193</v>
      </c>
      <c r="C48" s="7" t="s">
        <v>244</v>
      </c>
      <c r="D48" s="8">
        <f>ROUND(1488000,2)</f>
        <v>1488000</v>
      </c>
      <c r="E48" s="8">
        <f>ROUND(0,2)</f>
        <v>0</v>
      </c>
      <c r="F48" s="8">
        <f>ROUND(1488000,2)</f>
        <v>1488000</v>
      </c>
      <c r="G48" s="8">
        <f>ROUND(0,2)</f>
        <v>0</v>
      </c>
      <c r="H48" s="8">
        <f t="shared" si="18"/>
        <v>0</v>
      </c>
      <c r="I48" s="8">
        <f t="shared" si="16"/>
        <v>0</v>
      </c>
      <c r="J48" s="8">
        <f>ROUND(803207.89,2)</f>
        <v>803207.89</v>
      </c>
      <c r="K48" s="8">
        <f>ROUND(0,2)</f>
        <v>0</v>
      </c>
      <c r="L48" s="8">
        <f>ROUND(803207.89,2)</f>
        <v>803207.89</v>
      </c>
      <c r="M48" s="8">
        <f>ROUND(0,2)</f>
        <v>0</v>
      </c>
      <c r="N48" s="8">
        <f t="shared" si="19"/>
        <v>0</v>
      </c>
      <c r="O48" s="8">
        <f t="shared" si="17"/>
        <v>0</v>
      </c>
    </row>
    <row r="49" spans="1:15" ht="45.75">
      <c r="A49" s="2" t="s">
        <v>159</v>
      </c>
      <c r="B49" s="7" t="s">
        <v>69</v>
      </c>
      <c r="C49" s="7" t="s">
        <v>164</v>
      </c>
      <c r="D49" s="8">
        <f>ROUND(6876000,2)</f>
        <v>6876000</v>
      </c>
      <c r="E49" s="8">
        <f>ROUND(0,2)</f>
        <v>0</v>
      </c>
      <c r="F49" s="8">
        <f>ROUND(6876000,2)</f>
        <v>6876000</v>
      </c>
      <c r="G49" s="8">
        <f>ROUND(0,2)</f>
        <v>0</v>
      </c>
      <c r="H49" s="8">
        <f t="shared" si="18"/>
        <v>0</v>
      </c>
      <c r="I49" s="8">
        <f t="shared" si="16"/>
        <v>0</v>
      </c>
      <c r="J49" s="8">
        <f>ROUND(3351077,2)</f>
        <v>3351077</v>
      </c>
      <c r="K49" s="8">
        <f>ROUND(0,2)</f>
        <v>0</v>
      </c>
      <c r="L49" s="8">
        <f>ROUND(3351077,2)</f>
        <v>3351077</v>
      </c>
      <c r="M49" s="8">
        <f>ROUND(0,2)</f>
        <v>0</v>
      </c>
      <c r="N49" s="8">
        <f t="shared" si="19"/>
        <v>0</v>
      </c>
      <c r="O49" s="8">
        <f t="shared" si="17"/>
        <v>0</v>
      </c>
    </row>
    <row r="50" spans="1:15" ht="45.75">
      <c r="A50" s="2" t="s">
        <v>43</v>
      </c>
      <c r="B50" s="7" t="s">
        <v>105</v>
      </c>
      <c r="C50" s="7" t="s">
        <v>68</v>
      </c>
      <c r="D50" s="8">
        <f aca="true" t="shared" si="20" ref="D50:G51">ROUND(1116702,2)</f>
        <v>1116702</v>
      </c>
      <c r="E50" s="8">
        <f t="shared" si="20"/>
        <v>1116702</v>
      </c>
      <c r="F50" s="8">
        <f t="shared" si="20"/>
        <v>1116702</v>
      </c>
      <c r="G50" s="8">
        <f t="shared" si="20"/>
        <v>1116702</v>
      </c>
      <c r="H50" s="8">
        <f t="shared" si="18"/>
        <v>0</v>
      </c>
      <c r="I50" s="8">
        <f t="shared" si="16"/>
        <v>0</v>
      </c>
      <c r="J50" s="8">
        <f aca="true" t="shared" si="21" ref="J50:L51">ROUND(1116702,2)</f>
        <v>1116702</v>
      </c>
      <c r="K50" s="8">
        <f t="shared" si="21"/>
        <v>1116702</v>
      </c>
      <c r="L50" s="8">
        <f t="shared" si="21"/>
        <v>1116702</v>
      </c>
      <c r="M50" s="8">
        <f>ROUND(1116702,2)</f>
        <v>1116702</v>
      </c>
      <c r="N50" s="8">
        <f t="shared" si="19"/>
        <v>0</v>
      </c>
      <c r="O50" s="8">
        <f t="shared" si="17"/>
        <v>0</v>
      </c>
    </row>
    <row r="51" spans="1:15" ht="90.75">
      <c r="A51" s="2" t="s">
        <v>211</v>
      </c>
      <c r="B51" s="7" t="s">
        <v>277</v>
      </c>
      <c r="C51" s="7" t="s">
        <v>102</v>
      </c>
      <c r="D51" s="8">
        <f t="shared" si="20"/>
        <v>1116702</v>
      </c>
      <c r="E51" s="8">
        <f t="shared" si="20"/>
        <v>1116702</v>
      </c>
      <c r="F51" s="8">
        <f t="shared" si="20"/>
        <v>1116702</v>
      </c>
      <c r="G51" s="8">
        <f t="shared" si="20"/>
        <v>1116702</v>
      </c>
      <c r="H51" s="8">
        <f t="shared" si="18"/>
        <v>0</v>
      </c>
      <c r="I51" s="8">
        <f t="shared" si="16"/>
        <v>0</v>
      </c>
      <c r="J51" s="8">
        <f t="shared" si="21"/>
        <v>1116702</v>
      </c>
      <c r="K51" s="8">
        <f t="shared" si="21"/>
        <v>1116702</v>
      </c>
      <c r="L51" s="8">
        <f t="shared" si="21"/>
        <v>1116702</v>
      </c>
      <c r="M51" s="8">
        <f>ROUND(1116702,2)</f>
        <v>1116702</v>
      </c>
      <c r="N51" s="8">
        <f t="shared" si="19"/>
        <v>0</v>
      </c>
      <c r="O51" s="8">
        <f t="shared" si="17"/>
        <v>0</v>
      </c>
    </row>
    <row r="52" spans="1:15" ht="34.5">
      <c r="A52" s="2" t="s">
        <v>88</v>
      </c>
      <c r="B52" s="7" t="s">
        <v>288</v>
      </c>
      <c r="C52" s="7" t="s">
        <v>55</v>
      </c>
      <c r="D52" s="8">
        <f>ROUND(781200,2)</f>
        <v>781200</v>
      </c>
      <c r="E52" s="8">
        <f>ROUND(781200,2)</f>
        <v>781200</v>
      </c>
      <c r="F52" s="8">
        <f>ROUND(781200,2)</f>
        <v>781200</v>
      </c>
      <c r="G52" s="8">
        <f>ROUND(781200,2)</f>
        <v>781200</v>
      </c>
      <c r="H52" s="8">
        <f t="shared" si="18"/>
        <v>0</v>
      </c>
      <c r="I52" s="8">
        <f t="shared" si="16"/>
        <v>0</v>
      </c>
      <c r="J52" s="8">
        <f>ROUND(340200,2)</f>
        <v>340200</v>
      </c>
      <c r="K52" s="8">
        <f>ROUND(340200,2)</f>
        <v>340200</v>
      </c>
      <c r="L52" s="8">
        <f>ROUND(340200,2)</f>
        <v>340200</v>
      </c>
      <c r="M52" s="8">
        <f>ROUND(340200,2)</f>
        <v>340200</v>
      </c>
      <c r="N52" s="8">
        <f t="shared" si="19"/>
        <v>0</v>
      </c>
      <c r="O52" s="8">
        <f t="shared" si="17"/>
        <v>0</v>
      </c>
    </row>
    <row r="53" spans="1:15" ht="79.5">
      <c r="A53" s="2" t="s">
        <v>270</v>
      </c>
      <c r="B53" s="7" t="s">
        <v>124</v>
      </c>
      <c r="C53" s="7" t="s">
        <v>203</v>
      </c>
      <c r="D53" s="8">
        <f>ROUND(6266567,2)</f>
        <v>6266567</v>
      </c>
      <c r="E53" s="8">
        <f>ROUND(3310352,2)</f>
        <v>3310352</v>
      </c>
      <c r="F53" s="8">
        <f>ROUND(6266567,2)</f>
        <v>6266567</v>
      </c>
      <c r="G53" s="8">
        <f>ROUND(3310352,2)</f>
        <v>3310352</v>
      </c>
      <c r="H53" s="8">
        <f t="shared" si="18"/>
        <v>0</v>
      </c>
      <c r="I53" s="8">
        <f t="shared" si="16"/>
        <v>0</v>
      </c>
      <c r="J53" s="8">
        <f>ROUND(4911161,2)</f>
        <v>4911161</v>
      </c>
      <c r="K53" s="8">
        <f>ROUND(2357802,2)</f>
        <v>2357802</v>
      </c>
      <c r="L53" s="8">
        <f>ROUND(4911161,2)</f>
        <v>4911161</v>
      </c>
      <c r="M53" s="8">
        <f>ROUND(2357802,2)</f>
        <v>2357802</v>
      </c>
      <c r="N53" s="8">
        <f t="shared" si="19"/>
        <v>0</v>
      </c>
      <c r="O53" s="8">
        <f t="shared" si="17"/>
        <v>0</v>
      </c>
    </row>
    <row r="54" spans="1:15" ht="23.25">
      <c r="A54" s="2" t="s">
        <v>177</v>
      </c>
      <c r="B54" s="7" t="s">
        <v>27</v>
      </c>
      <c r="C54" s="7" t="s">
        <v>221</v>
      </c>
      <c r="D54" s="8">
        <f>ROUND(6266567,2)</f>
        <v>6266567</v>
      </c>
      <c r="E54" s="8">
        <f>ROUND(3310352,2)</f>
        <v>3310352</v>
      </c>
      <c r="F54" s="8">
        <f>ROUND(6266567,2)</f>
        <v>6266567</v>
      </c>
      <c r="G54" s="8">
        <f>ROUND(3310352,2)</f>
        <v>3310352</v>
      </c>
      <c r="H54" s="8">
        <f t="shared" si="18"/>
        <v>0</v>
      </c>
      <c r="I54" s="8">
        <f t="shared" si="16"/>
        <v>0</v>
      </c>
      <c r="J54" s="8">
        <f>ROUND(4911161,2)</f>
        <v>4911161</v>
      </c>
      <c r="K54" s="8">
        <f>ROUND(2357802,2)</f>
        <v>2357802</v>
      </c>
      <c r="L54" s="8">
        <f>ROUND(4911161,2)</f>
        <v>4911161</v>
      </c>
      <c r="M54" s="8">
        <f>ROUND(2357802,2)</f>
        <v>2357802</v>
      </c>
      <c r="N54" s="8">
        <f t="shared" si="19"/>
        <v>0</v>
      </c>
      <c r="O54" s="8">
        <f t="shared" si="17"/>
        <v>0</v>
      </c>
    </row>
    <row r="55" spans="1:15" ht="34.5">
      <c r="A55" s="2" t="s">
        <v>96</v>
      </c>
      <c r="B55" s="7" t="s">
        <v>218</v>
      </c>
      <c r="C55" s="7" t="s">
        <v>260</v>
      </c>
      <c r="D55" s="8">
        <f>ROUND(656395473.3,2)</f>
        <v>656395473.3</v>
      </c>
      <c r="E55" s="8">
        <f aca="true" t="shared" si="22" ref="E55:E99">ROUND(0,2)</f>
        <v>0</v>
      </c>
      <c r="F55" s="8">
        <f>ROUND(591904564.99,2)</f>
        <v>591904564.99</v>
      </c>
      <c r="G55" s="8">
        <f aca="true" t="shared" si="23" ref="G55:G99">ROUND(0,2)</f>
        <v>0</v>
      </c>
      <c r="H55" s="8">
        <f>ROUND(64490908.31,2)</f>
        <v>64490908.31</v>
      </c>
      <c r="I55" s="8">
        <f t="shared" si="16"/>
        <v>0</v>
      </c>
      <c r="J55" s="8">
        <f>ROUND(249378874.1,2)</f>
        <v>249378874.1</v>
      </c>
      <c r="K55" s="8">
        <f aca="true" t="shared" si="24" ref="K55:K61">ROUND(0,2)</f>
        <v>0</v>
      </c>
      <c r="L55" s="8">
        <f>ROUND(224969037.56,2)</f>
        <v>224969037.56</v>
      </c>
      <c r="M55" s="8">
        <f aca="true" t="shared" si="25" ref="M55:M61">ROUND(0,2)</f>
        <v>0</v>
      </c>
      <c r="N55" s="8">
        <f>ROUND(24409836.54,2)</f>
        <v>24409836.54</v>
      </c>
      <c r="O55" s="8">
        <f t="shared" si="17"/>
        <v>0</v>
      </c>
    </row>
    <row r="56" spans="1:15" ht="34.5">
      <c r="A56" s="2" t="s">
        <v>236</v>
      </c>
      <c r="B56" s="7" t="s">
        <v>94</v>
      </c>
      <c r="C56" s="7" t="s">
        <v>142</v>
      </c>
      <c r="D56" s="8">
        <f>ROUND(418549648.89,2)</f>
        <v>418549648.89</v>
      </c>
      <c r="E56" s="8">
        <f t="shared" si="22"/>
        <v>0</v>
      </c>
      <c r="F56" s="8">
        <f>ROUND(408947097.89,2)</f>
        <v>408947097.89</v>
      </c>
      <c r="G56" s="8">
        <f t="shared" si="23"/>
        <v>0</v>
      </c>
      <c r="H56" s="8">
        <f>ROUND(9602551,2)</f>
        <v>9602551</v>
      </c>
      <c r="I56" s="8">
        <f t="shared" si="16"/>
        <v>0</v>
      </c>
      <c r="J56" s="8">
        <f>ROUND(162614076.26,2)</f>
        <v>162614076.26</v>
      </c>
      <c r="K56" s="8">
        <f t="shared" si="24"/>
        <v>0</v>
      </c>
      <c r="L56" s="8">
        <f>ROUND(161913028.02,2)</f>
        <v>161913028.02</v>
      </c>
      <c r="M56" s="8">
        <f t="shared" si="25"/>
        <v>0</v>
      </c>
      <c r="N56" s="8">
        <f>ROUND(701048.24,2)</f>
        <v>701048.24</v>
      </c>
      <c r="O56" s="8">
        <f t="shared" si="17"/>
        <v>0</v>
      </c>
    </row>
    <row r="57" spans="1:15" ht="102">
      <c r="A57" s="2" t="s">
        <v>122</v>
      </c>
      <c r="B57" s="7" t="s">
        <v>196</v>
      </c>
      <c r="C57" s="7" t="s">
        <v>67</v>
      </c>
      <c r="D57" s="8">
        <f>ROUND(4329631,2)</f>
        <v>4329631</v>
      </c>
      <c r="E57" s="8">
        <f t="shared" si="22"/>
        <v>0</v>
      </c>
      <c r="F57" s="8">
        <f aca="true" t="shared" si="26" ref="F57:F84">ROUND(0,2)</f>
        <v>0</v>
      </c>
      <c r="G57" s="8">
        <f t="shared" si="23"/>
        <v>0</v>
      </c>
      <c r="H57" s="8">
        <f>ROUND(4329631,2)</f>
        <v>4329631</v>
      </c>
      <c r="I57" s="8">
        <f t="shared" si="16"/>
        <v>0</v>
      </c>
      <c r="J57" s="8">
        <f>ROUND(956247.33,2)</f>
        <v>956247.33</v>
      </c>
      <c r="K57" s="8">
        <f t="shared" si="24"/>
        <v>0</v>
      </c>
      <c r="L57" s="8">
        <f>ROUND(0,2)</f>
        <v>0</v>
      </c>
      <c r="M57" s="8">
        <f t="shared" si="25"/>
        <v>0</v>
      </c>
      <c r="N57" s="8">
        <f>ROUND(956247.33,2)</f>
        <v>956247.33</v>
      </c>
      <c r="O57" s="8">
        <f t="shared" si="17"/>
        <v>0</v>
      </c>
    </row>
    <row r="58" spans="1:15" ht="23.25">
      <c r="A58" s="2" t="s">
        <v>269</v>
      </c>
      <c r="B58" s="7" t="s">
        <v>158</v>
      </c>
      <c r="C58" s="7" t="s">
        <v>165</v>
      </c>
      <c r="D58" s="8">
        <f aca="true" t="shared" si="27" ref="D58:D76">ROUND(0,2)</f>
        <v>0</v>
      </c>
      <c r="E58" s="8">
        <f t="shared" si="22"/>
        <v>0</v>
      </c>
      <c r="F58" s="8">
        <f t="shared" si="26"/>
        <v>0</v>
      </c>
      <c r="G58" s="8">
        <f t="shared" si="23"/>
        <v>0</v>
      </c>
      <c r="H58" s="8">
        <f aca="true" t="shared" si="28" ref="H58:H76">ROUND(0,2)</f>
        <v>0</v>
      </c>
      <c r="I58" s="8">
        <f t="shared" si="16"/>
        <v>0</v>
      </c>
      <c r="J58" s="8">
        <f>ROUND(83202419.63,2)</f>
        <v>83202419.63</v>
      </c>
      <c r="K58" s="8">
        <f t="shared" si="24"/>
        <v>0</v>
      </c>
      <c r="L58" s="8">
        <f>ROUND(79867969.63,2)</f>
        <v>79867969.63</v>
      </c>
      <c r="M58" s="8">
        <f t="shared" si="25"/>
        <v>0</v>
      </c>
      <c r="N58" s="8">
        <f>ROUND(3334450,2)</f>
        <v>3334450</v>
      </c>
      <c r="O58" s="8">
        <f t="shared" si="17"/>
        <v>0</v>
      </c>
    </row>
    <row r="59" spans="1:15" ht="68.25">
      <c r="A59" s="2" t="s">
        <v>219</v>
      </c>
      <c r="B59" s="7" t="s">
        <v>11</v>
      </c>
      <c r="C59" s="7" t="s">
        <v>197</v>
      </c>
      <c r="D59" s="8">
        <f t="shared" si="27"/>
        <v>0</v>
      </c>
      <c r="E59" s="8">
        <f t="shared" si="22"/>
        <v>0</v>
      </c>
      <c r="F59" s="8">
        <f t="shared" si="26"/>
        <v>0</v>
      </c>
      <c r="G59" s="8">
        <f t="shared" si="23"/>
        <v>0</v>
      </c>
      <c r="H59" s="8">
        <f t="shared" si="28"/>
        <v>0</v>
      </c>
      <c r="I59" s="8">
        <f t="shared" si="16"/>
        <v>0</v>
      </c>
      <c r="J59" s="8">
        <f>ROUND(83202419.63,2)</f>
        <v>83202419.63</v>
      </c>
      <c r="K59" s="8">
        <f t="shared" si="24"/>
        <v>0</v>
      </c>
      <c r="L59" s="8">
        <f>ROUND(79867969.63,2)</f>
        <v>79867969.63</v>
      </c>
      <c r="M59" s="8">
        <f t="shared" si="25"/>
        <v>0</v>
      </c>
      <c r="N59" s="8">
        <f>ROUND(3334450,2)</f>
        <v>3334450</v>
      </c>
      <c r="O59" s="8">
        <f t="shared" si="17"/>
        <v>0</v>
      </c>
    </row>
    <row r="60" spans="1:15" ht="45.75">
      <c r="A60" s="2" t="s">
        <v>278</v>
      </c>
      <c r="B60" s="7" t="s">
        <v>104</v>
      </c>
      <c r="C60" s="7" t="s">
        <v>214</v>
      </c>
      <c r="D60" s="8">
        <f t="shared" si="27"/>
        <v>0</v>
      </c>
      <c r="E60" s="8">
        <f t="shared" si="22"/>
        <v>0</v>
      </c>
      <c r="F60" s="8">
        <f t="shared" si="26"/>
        <v>0</v>
      </c>
      <c r="G60" s="8">
        <f t="shared" si="23"/>
        <v>0</v>
      </c>
      <c r="H60" s="8">
        <f t="shared" si="28"/>
        <v>0</v>
      </c>
      <c r="I60" s="8">
        <f t="shared" si="16"/>
        <v>0</v>
      </c>
      <c r="J60" s="8">
        <f>ROUND(79867969.63,2)</f>
        <v>79867969.63</v>
      </c>
      <c r="K60" s="8">
        <f t="shared" si="24"/>
        <v>0</v>
      </c>
      <c r="L60" s="8">
        <f>ROUND(79867969.63,2)</f>
        <v>79867969.63</v>
      </c>
      <c r="M60" s="8">
        <f t="shared" si="25"/>
        <v>0</v>
      </c>
      <c r="N60" s="8">
        <f>ROUND(0,2)</f>
        <v>0</v>
      </c>
      <c r="O60" s="8">
        <f t="shared" si="17"/>
        <v>0</v>
      </c>
    </row>
    <row r="61" spans="1:15" ht="34.5">
      <c r="A61" s="2" t="s">
        <v>107</v>
      </c>
      <c r="B61" s="7" t="s">
        <v>276</v>
      </c>
      <c r="C61" s="7" t="s">
        <v>240</v>
      </c>
      <c r="D61" s="8">
        <f t="shared" si="27"/>
        <v>0</v>
      </c>
      <c r="E61" s="8">
        <f t="shared" si="22"/>
        <v>0</v>
      </c>
      <c r="F61" s="8">
        <f t="shared" si="26"/>
        <v>0</v>
      </c>
      <c r="G61" s="8">
        <f t="shared" si="23"/>
        <v>0</v>
      </c>
      <c r="H61" s="8">
        <f t="shared" si="28"/>
        <v>0</v>
      </c>
      <c r="I61" s="8">
        <f t="shared" si="16"/>
        <v>0</v>
      </c>
      <c r="J61" s="8">
        <f>ROUND(3334450,2)</f>
        <v>3334450</v>
      </c>
      <c r="K61" s="8">
        <f t="shared" si="24"/>
        <v>0</v>
      </c>
      <c r="L61" s="8">
        <f>ROUND(0,2)</f>
        <v>0</v>
      </c>
      <c r="M61" s="8">
        <f t="shared" si="25"/>
        <v>0</v>
      </c>
      <c r="N61" s="8">
        <f>ROUND(3334450,2)</f>
        <v>3334450</v>
      </c>
      <c r="O61" s="8">
        <f t="shared" si="17"/>
        <v>0</v>
      </c>
    </row>
    <row r="62" spans="1:15" ht="34.5">
      <c r="A62" s="2" t="s">
        <v>7</v>
      </c>
      <c r="B62" s="7" t="s">
        <v>65</v>
      </c>
      <c r="C62" s="7" t="s">
        <v>33</v>
      </c>
      <c r="D62" s="8">
        <f t="shared" si="27"/>
        <v>0</v>
      </c>
      <c r="E62" s="8">
        <f t="shared" si="22"/>
        <v>0</v>
      </c>
      <c r="F62" s="8">
        <f t="shared" si="26"/>
        <v>0</v>
      </c>
      <c r="G62" s="8">
        <f t="shared" si="23"/>
        <v>0</v>
      </c>
      <c r="H62" s="8">
        <f t="shared" si="28"/>
        <v>0</v>
      </c>
      <c r="I62" s="8">
        <f t="shared" si="16"/>
        <v>0</v>
      </c>
      <c r="J62" s="8">
        <f>ROUND(72399552.38,2)</f>
        <v>72399552.38</v>
      </c>
      <c r="K62" s="8">
        <f>ROUND(3976004.71,2)</f>
        <v>3976004.71</v>
      </c>
      <c r="L62" s="8">
        <f>ROUND(58480738.24,2)</f>
        <v>58480738.24</v>
      </c>
      <c r="M62" s="8">
        <f>ROUND(2141738.95,2)</f>
        <v>2141738.95</v>
      </c>
      <c r="N62" s="8">
        <f>ROUND(13918814.14,2)</f>
        <v>13918814.14</v>
      </c>
      <c r="O62" s="8">
        <f>ROUND(1834265.76,2)</f>
        <v>1834265.76</v>
      </c>
    </row>
    <row r="63" spans="1:15" ht="34.5">
      <c r="A63" s="2" t="s">
        <v>119</v>
      </c>
      <c r="B63" s="7" t="s">
        <v>183</v>
      </c>
      <c r="C63" s="7" t="s">
        <v>148</v>
      </c>
      <c r="D63" s="8">
        <f t="shared" si="27"/>
        <v>0</v>
      </c>
      <c r="E63" s="8">
        <f t="shared" si="22"/>
        <v>0</v>
      </c>
      <c r="F63" s="8">
        <f t="shared" si="26"/>
        <v>0</v>
      </c>
      <c r="G63" s="8">
        <f t="shared" si="23"/>
        <v>0</v>
      </c>
      <c r="H63" s="8">
        <f t="shared" si="28"/>
        <v>0</v>
      </c>
      <c r="I63" s="8">
        <f t="shared" si="16"/>
        <v>0</v>
      </c>
      <c r="J63" s="8">
        <f>ROUND(62341307.48,2)</f>
        <v>62341307.48</v>
      </c>
      <c r="K63" s="8">
        <f>ROUND(3976004.71,2)</f>
        <v>3976004.71</v>
      </c>
      <c r="L63" s="8">
        <f>ROUND(57434225.76,2)</f>
        <v>57434225.76</v>
      </c>
      <c r="M63" s="8">
        <f>ROUND(2141738.95,2)</f>
        <v>2141738.95</v>
      </c>
      <c r="N63" s="8">
        <f>ROUND(4907081.72,2)</f>
        <v>4907081.72</v>
      </c>
      <c r="O63" s="8">
        <f>ROUND(1834265.76,2)</f>
        <v>1834265.76</v>
      </c>
    </row>
    <row r="64" spans="1:15" ht="34.5">
      <c r="A64" s="2" t="s">
        <v>61</v>
      </c>
      <c r="B64" s="7" t="s">
        <v>265</v>
      </c>
      <c r="C64" s="7" t="s">
        <v>134</v>
      </c>
      <c r="D64" s="8">
        <f t="shared" si="27"/>
        <v>0</v>
      </c>
      <c r="E64" s="8">
        <f t="shared" si="22"/>
        <v>0</v>
      </c>
      <c r="F64" s="8">
        <f t="shared" si="26"/>
        <v>0</v>
      </c>
      <c r="G64" s="8">
        <f t="shared" si="23"/>
        <v>0</v>
      </c>
      <c r="H64" s="8">
        <f t="shared" si="28"/>
        <v>0</v>
      </c>
      <c r="I64" s="8">
        <f t="shared" si="16"/>
        <v>0</v>
      </c>
      <c r="J64" s="8">
        <f>ROUND(7329098.05,2)</f>
        <v>7329098.05</v>
      </c>
      <c r="K64" s="8">
        <f>ROUND(1050,2)</f>
        <v>1050</v>
      </c>
      <c r="L64" s="8">
        <f>ROUND(1467714.72,2)</f>
        <v>1467714.72</v>
      </c>
      <c r="M64" s="8">
        <f aca="true" t="shared" si="29" ref="M64:M99">ROUND(0,2)</f>
        <v>0</v>
      </c>
      <c r="N64" s="8">
        <f>ROUND(5861383.33,2)</f>
        <v>5861383.33</v>
      </c>
      <c r="O64" s="8">
        <f>ROUND(1050,2)</f>
        <v>1050</v>
      </c>
    </row>
    <row r="65" spans="1:15" ht="57">
      <c r="A65" s="2" t="s">
        <v>185</v>
      </c>
      <c r="B65" s="7" t="s">
        <v>130</v>
      </c>
      <c r="C65" s="7" t="s">
        <v>228</v>
      </c>
      <c r="D65" s="8">
        <f t="shared" si="27"/>
        <v>0</v>
      </c>
      <c r="E65" s="8">
        <f t="shared" si="22"/>
        <v>0</v>
      </c>
      <c r="F65" s="8">
        <f t="shared" si="26"/>
        <v>0</v>
      </c>
      <c r="G65" s="8">
        <f t="shared" si="23"/>
        <v>0</v>
      </c>
      <c r="H65" s="8">
        <f t="shared" si="28"/>
        <v>0</v>
      </c>
      <c r="I65" s="8">
        <f t="shared" si="16"/>
        <v>0</v>
      </c>
      <c r="J65" s="8">
        <f>ROUND(2457574.47,2)</f>
        <v>2457574.47</v>
      </c>
      <c r="K65" s="8">
        <f aca="true" t="shared" si="30" ref="K65:K99">ROUND(0,2)</f>
        <v>0</v>
      </c>
      <c r="L65" s="8">
        <f>ROUND(239467.94,2)</f>
        <v>239467.94</v>
      </c>
      <c r="M65" s="8">
        <f t="shared" si="29"/>
        <v>0</v>
      </c>
      <c r="N65" s="8">
        <f>ROUND(2218106.53,2)</f>
        <v>2218106.53</v>
      </c>
      <c r="O65" s="8">
        <f aca="true" t="shared" si="31" ref="O65:O99">ROUND(0,2)</f>
        <v>0</v>
      </c>
    </row>
    <row r="66" spans="1:15" ht="23.25">
      <c r="A66" s="2" t="s">
        <v>147</v>
      </c>
      <c r="B66" s="7" t="s">
        <v>125</v>
      </c>
      <c r="C66" s="7" t="s">
        <v>60</v>
      </c>
      <c r="D66" s="8">
        <f t="shared" si="27"/>
        <v>0</v>
      </c>
      <c r="E66" s="8">
        <f t="shared" si="22"/>
        <v>0</v>
      </c>
      <c r="F66" s="8">
        <f t="shared" si="26"/>
        <v>0</v>
      </c>
      <c r="G66" s="8">
        <f t="shared" si="23"/>
        <v>0</v>
      </c>
      <c r="H66" s="8">
        <f t="shared" si="28"/>
        <v>0</v>
      </c>
      <c r="I66" s="8">
        <f t="shared" si="16"/>
        <v>0</v>
      </c>
      <c r="J66" s="8">
        <f>ROUND(20055099.71,2)</f>
        <v>20055099.71</v>
      </c>
      <c r="K66" s="8">
        <f t="shared" si="30"/>
        <v>0</v>
      </c>
      <c r="L66" s="8">
        <f>ROUND(14157387.61,2)</f>
        <v>14157387.61</v>
      </c>
      <c r="M66" s="8">
        <f t="shared" si="29"/>
        <v>0</v>
      </c>
      <c r="N66" s="8">
        <f>ROUND(5897712.1,2)</f>
        <v>5897712.1</v>
      </c>
      <c r="O66" s="8">
        <f t="shared" si="31"/>
        <v>0</v>
      </c>
    </row>
    <row r="67" spans="1:15" ht="135.75">
      <c r="A67" s="2" t="s">
        <v>22</v>
      </c>
      <c r="B67" s="7" t="s">
        <v>253</v>
      </c>
      <c r="C67" s="7" t="s">
        <v>126</v>
      </c>
      <c r="D67" s="8">
        <f t="shared" si="27"/>
        <v>0</v>
      </c>
      <c r="E67" s="8">
        <f t="shared" si="22"/>
        <v>0</v>
      </c>
      <c r="F67" s="8">
        <f t="shared" si="26"/>
        <v>0</v>
      </c>
      <c r="G67" s="8">
        <f t="shared" si="23"/>
        <v>0</v>
      </c>
      <c r="H67" s="8">
        <f t="shared" si="28"/>
        <v>0</v>
      </c>
      <c r="I67" s="8">
        <f t="shared" si="16"/>
        <v>0</v>
      </c>
      <c r="J67" s="8">
        <f>ROUND(7000,2)</f>
        <v>7000</v>
      </c>
      <c r="K67" s="8">
        <f t="shared" si="30"/>
        <v>0</v>
      </c>
      <c r="L67" s="8">
        <f>ROUND(0,2)</f>
        <v>0</v>
      </c>
      <c r="M67" s="8">
        <f t="shared" si="29"/>
        <v>0</v>
      </c>
      <c r="N67" s="8">
        <f>ROUND(7000,2)</f>
        <v>7000</v>
      </c>
      <c r="O67" s="8">
        <f t="shared" si="31"/>
        <v>0</v>
      </c>
    </row>
    <row r="68" spans="1:15" ht="113.25">
      <c r="A68" s="2" t="s">
        <v>163</v>
      </c>
      <c r="B68" s="7" t="s">
        <v>21</v>
      </c>
      <c r="C68" s="7" t="s">
        <v>259</v>
      </c>
      <c r="D68" s="8">
        <f t="shared" si="27"/>
        <v>0</v>
      </c>
      <c r="E68" s="8">
        <f t="shared" si="22"/>
        <v>0</v>
      </c>
      <c r="F68" s="8">
        <f t="shared" si="26"/>
        <v>0</v>
      </c>
      <c r="G68" s="8">
        <f t="shared" si="23"/>
        <v>0</v>
      </c>
      <c r="H68" s="8">
        <f t="shared" si="28"/>
        <v>0</v>
      </c>
      <c r="I68" s="8">
        <f t="shared" si="16"/>
        <v>0</v>
      </c>
      <c r="J68" s="8">
        <f>ROUND(926178.61,2)</f>
        <v>926178.61</v>
      </c>
      <c r="K68" s="8">
        <f t="shared" si="30"/>
        <v>0</v>
      </c>
      <c r="L68" s="8">
        <f>ROUND(0,2)</f>
        <v>0</v>
      </c>
      <c r="M68" s="8">
        <f t="shared" si="29"/>
        <v>0</v>
      </c>
      <c r="N68" s="8">
        <f>ROUND(926178.61,2)</f>
        <v>926178.61</v>
      </c>
      <c r="O68" s="8">
        <f t="shared" si="31"/>
        <v>0</v>
      </c>
    </row>
    <row r="69" spans="1:15" ht="147">
      <c r="A69" s="2" t="s">
        <v>256</v>
      </c>
      <c r="B69" s="7" t="s">
        <v>157</v>
      </c>
      <c r="C69" s="7" t="s">
        <v>72</v>
      </c>
      <c r="D69" s="8">
        <f t="shared" si="27"/>
        <v>0</v>
      </c>
      <c r="E69" s="8">
        <f t="shared" si="22"/>
        <v>0</v>
      </c>
      <c r="F69" s="8">
        <f t="shared" si="26"/>
        <v>0</v>
      </c>
      <c r="G69" s="8">
        <f t="shared" si="23"/>
        <v>0</v>
      </c>
      <c r="H69" s="8">
        <f t="shared" si="28"/>
        <v>0</v>
      </c>
      <c r="I69" s="8">
        <f t="shared" si="16"/>
        <v>0</v>
      </c>
      <c r="J69" s="8">
        <f>ROUND(2141944.85,2)</f>
        <v>2141944.85</v>
      </c>
      <c r="K69" s="8">
        <f t="shared" si="30"/>
        <v>0</v>
      </c>
      <c r="L69" s="8">
        <f>ROUND(1010278.82,2)</f>
        <v>1010278.82</v>
      </c>
      <c r="M69" s="8">
        <f t="shared" si="29"/>
        <v>0</v>
      </c>
      <c r="N69" s="8">
        <f>ROUND(1131666.03,2)</f>
        <v>1131666.03</v>
      </c>
      <c r="O69" s="8">
        <f t="shared" si="31"/>
        <v>0</v>
      </c>
    </row>
    <row r="70" spans="1:15" ht="90.75">
      <c r="A70" s="2" t="s">
        <v>123</v>
      </c>
      <c r="B70" s="7" t="s">
        <v>191</v>
      </c>
      <c r="C70" s="7" t="s">
        <v>131</v>
      </c>
      <c r="D70" s="8">
        <f t="shared" si="27"/>
        <v>0</v>
      </c>
      <c r="E70" s="8">
        <f t="shared" si="22"/>
        <v>0</v>
      </c>
      <c r="F70" s="8">
        <f t="shared" si="26"/>
        <v>0</v>
      </c>
      <c r="G70" s="8">
        <f t="shared" si="23"/>
        <v>0</v>
      </c>
      <c r="H70" s="8">
        <f t="shared" si="28"/>
        <v>0</v>
      </c>
      <c r="I70" s="8">
        <f t="shared" si="16"/>
        <v>0</v>
      </c>
      <c r="J70" s="8">
        <f>ROUND(82094.62,2)</f>
        <v>82094.62</v>
      </c>
      <c r="K70" s="8">
        <f t="shared" si="30"/>
        <v>0</v>
      </c>
      <c r="L70" s="8">
        <f>ROUND(30000,2)</f>
        <v>30000</v>
      </c>
      <c r="M70" s="8">
        <f t="shared" si="29"/>
        <v>0</v>
      </c>
      <c r="N70" s="8">
        <f>ROUND(52094.62,2)</f>
        <v>52094.62</v>
      </c>
      <c r="O70" s="8">
        <f t="shared" si="31"/>
        <v>0</v>
      </c>
    </row>
    <row r="71" spans="1:15" ht="45.75">
      <c r="A71" s="2" t="s">
        <v>232</v>
      </c>
      <c r="B71" s="7" t="s">
        <v>74</v>
      </c>
      <c r="C71" s="7" t="s">
        <v>160</v>
      </c>
      <c r="D71" s="8">
        <f t="shared" si="27"/>
        <v>0</v>
      </c>
      <c r="E71" s="8">
        <f t="shared" si="22"/>
        <v>0</v>
      </c>
      <c r="F71" s="8">
        <f t="shared" si="26"/>
        <v>0</v>
      </c>
      <c r="G71" s="8">
        <f t="shared" si="23"/>
        <v>0</v>
      </c>
      <c r="H71" s="8">
        <f t="shared" si="28"/>
        <v>0</v>
      </c>
      <c r="I71" s="8">
        <f t="shared" si="16"/>
        <v>0</v>
      </c>
      <c r="J71" s="8">
        <f>ROUND(231936.81,2)</f>
        <v>231936.81</v>
      </c>
      <c r="K71" s="8">
        <f t="shared" si="30"/>
        <v>0</v>
      </c>
      <c r="L71" s="8">
        <f>ROUND(113898.28,2)</f>
        <v>113898.28</v>
      </c>
      <c r="M71" s="8">
        <f t="shared" si="29"/>
        <v>0</v>
      </c>
      <c r="N71" s="8">
        <f>ROUND(118038.53,2)</f>
        <v>118038.53</v>
      </c>
      <c r="O71" s="8">
        <f t="shared" si="31"/>
        <v>0</v>
      </c>
    </row>
    <row r="72" spans="1:15" ht="23.25">
      <c r="A72" s="2" t="s">
        <v>99</v>
      </c>
      <c r="B72" s="7" t="s">
        <v>230</v>
      </c>
      <c r="C72" s="7" t="s">
        <v>71</v>
      </c>
      <c r="D72" s="8">
        <f t="shared" si="27"/>
        <v>0</v>
      </c>
      <c r="E72" s="8">
        <f t="shared" si="22"/>
        <v>0</v>
      </c>
      <c r="F72" s="8">
        <f t="shared" si="26"/>
        <v>0</v>
      </c>
      <c r="G72" s="8">
        <f t="shared" si="23"/>
        <v>0</v>
      </c>
      <c r="H72" s="8">
        <f t="shared" si="28"/>
        <v>0</v>
      </c>
      <c r="I72" s="8">
        <f t="shared" si="16"/>
        <v>0</v>
      </c>
      <c r="J72" s="8">
        <f>ROUND(72037.6,2)</f>
        <v>72037.6</v>
      </c>
      <c r="K72" s="8">
        <f t="shared" si="30"/>
        <v>0</v>
      </c>
      <c r="L72" s="8">
        <f>ROUND(43294.98,2)</f>
        <v>43294.98</v>
      </c>
      <c r="M72" s="8">
        <f t="shared" si="29"/>
        <v>0</v>
      </c>
      <c r="N72" s="8">
        <f>ROUND(28742.62,2)</f>
        <v>28742.62</v>
      </c>
      <c r="O72" s="8">
        <f t="shared" si="31"/>
        <v>0</v>
      </c>
    </row>
    <row r="73" spans="1:15" ht="34.5">
      <c r="A73" s="2" t="s">
        <v>116</v>
      </c>
      <c r="B73" s="7" t="s">
        <v>234</v>
      </c>
      <c r="C73" s="7" t="s">
        <v>281</v>
      </c>
      <c r="D73" s="8">
        <f t="shared" si="27"/>
        <v>0</v>
      </c>
      <c r="E73" s="8">
        <f t="shared" si="22"/>
        <v>0</v>
      </c>
      <c r="F73" s="8">
        <f t="shared" si="26"/>
        <v>0</v>
      </c>
      <c r="G73" s="8">
        <f t="shared" si="23"/>
        <v>0</v>
      </c>
      <c r="H73" s="8">
        <f t="shared" si="28"/>
        <v>0</v>
      </c>
      <c r="I73" s="8">
        <f aca="true" t="shared" si="32" ref="I73:I99">ROUND(0,2)</f>
        <v>0</v>
      </c>
      <c r="J73" s="8">
        <f>ROUND(410088.6,2)</f>
        <v>410088.6</v>
      </c>
      <c r="K73" s="8">
        <f t="shared" si="30"/>
        <v>0</v>
      </c>
      <c r="L73" s="8">
        <f>ROUND(0,2)</f>
        <v>0</v>
      </c>
      <c r="M73" s="8">
        <f t="shared" si="29"/>
        <v>0</v>
      </c>
      <c r="N73" s="8">
        <f>ROUND(410088.6,2)</f>
        <v>410088.6</v>
      </c>
      <c r="O73" s="8">
        <f t="shared" si="31"/>
        <v>0</v>
      </c>
    </row>
    <row r="74" spans="1:15" ht="23.25">
      <c r="A74" s="2" t="s">
        <v>238</v>
      </c>
      <c r="B74" s="7" t="s">
        <v>168</v>
      </c>
      <c r="C74" s="7" t="s">
        <v>200</v>
      </c>
      <c r="D74" s="8">
        <f t="shared" si="27"/>
        <v>0</v>
      </c>
      <c r="E74" s="8">
        <f t="shared" si="22"/>
        <v>0</v>
      </c>
      <c r="F74" s="8">
        <f t="shared" si="26"/>
        <v>0</v>
      </c>
      <c r="G74" s="8">
        <f t="shared" si="23"/>
        <v>0</v>
      </c>
      <c r="H74" s="8">
        <f t="shared" si="28"/>
        <v>0</v>
      </c>
      <c r="I74" s="8">
        <f t="shared" si="32"/>
        <v>0</v>
      </c>
      <c r="J74" s="8">
        <f>ROUND(1587093.46,2)</f>
        <v>1587093.46</v>
      </c>
      <c r="K74" s="8">
        <f t="shared" si="30"/>
        <v>0</v>
      </c>
      <c r="L74" s="8">
        <f>ROUND(460010.06,2)</f>
        <v>460010.06</v>
      </c>
      <c r="M74" s="8">
        <f t="shared" si="29"/>
        <v>0</v>
      </c>
      <c r="N74" s="8">
        <f>ROUND(1127083.4,2)</f>
        <v>1127083.4</v>
      </c>
      <c r="O74" s="8">
        <f t="shared" si="31"/>
        <v>0</v>
      </c>
    </row>
    <row r="75" spans="1:15" ht="90.75">
      <c r="A75" s="2" t="s">
        <v>80</v>
      </c>
      <c r="B75" s="7" t="s">
        <v>241</v>
      </c>
      <c r="C75" s="7" t="s">
        <v>248</v>
      </c>
      <c r="D75" s="8">
        <f t="shared" si="27"/>
        <v>0</v>
      </c>
      <c r="E75" s="8">
        <f t="shared" si="22"/>
        <v>0</v>
      </c>
      <c r="F75" s="8">
        <f t="shared" si="26"/>
        <v>0</v>
      </c>
      <c r="G75" s="8">
        <f t="shared" si="23"/>
        <v>0</v>
      </c>
      <c r="H75" s="8">
        <f t="shared" si="28"/>
        <v>0</v>
      </c>
      <c r="I75" s="8">
        <f t="shared" si="32"/>
        <v>0</v>
      </c>
      <c r="J75" s="8">
        <f>ROUND(216580.62,2)</f>
        <v>216580.62</v>
      </c>
      <c r="K75" s="8">
        <f t="shared" si="30"/>
        <v>0</v>
      </c>
      <c r="L75" s="8">
        <f>ROUND(11796,2)</f>
        <v>11796</v>
      </c>
      <c r="M75" s="8">
        <f t="shared" si="29"/>
        <v>0</v>
      </c>
      <c r="N75" s="8">
        <f>ROUND(204784.62,2)</f>
        <v>204784.62</v>
      </c>
      <c r="O75" s="8">
        <f t="shared" si="31"/>
        <v>0</v>
      </c>
    </row>
    <row r="76" spans="1:15" ht="68.25">
      <c r="A76" s="2" t="s">
        <v>245</v>
      </c>
      <c r="B76" s="7" t="s">
        <v>18</v>
      </c>
      <c r="C76" s="7" t="s">
        <v>101</v>
      </c>
      <c r="D76" s="8">
        <f t="shared" si="27"/>
        <v>0</v>
      </c>
      <c r="E76" s="8">
        <f t="shared" si="22"/>
        <v>0</v>
      </c>
      <c r="F76" s="8">
        <f t="shared" si="26"/>
        <v>0</v>
      </c>
      <c r="G76" s="8">
        <f t="shared" si="23"/>
        <v>0</v>
      </c>
      <c r="H76" s="8">
        <f t="shared" si="28"/>
        <v>0</v>
      </c>
      <c r="I76" s="8">
        <f t="shared" si="32"/>
        <v>0</v>
      </c>
      <c r="J76" s="8">
        <f>ROUND(191137.2,2)</f>
        <v>191137.2</v>
      </c>
      <c r="K76" s="8">
        <f t="shared" si="30"/>
        <v>0</v>
      </c>
      <c r="L76" s="8">
        <f>ROUND(151458.35,2)</f>
        <v>151458.35</v>
      </c>
      <c r="M76" s="8">
        <f t="shared" si="29"/>
        <v>0</v>
      </c>
      <c r="N76" s="8">
        <f>ROUND(39678.85,2)</f>
        <v>39678.85</v>
      </c>
      <c r="O76" s="8">
        <f t="shared" si="31"/>
        <v>0</v>
      </c>
    </row>
    <row r="77" spans="1:15" ht="90.75">
      <c r="A77" s="2" t="s">
        <v>210</v>
      </c>
      <c r="B77" s="7" t="s">
        <v>198</v>
      </c>
      <c r="C77" s="7" t="s">
        <v>44</v>
      </c>
      <c r="D77" s="8">
        <f>ROUND(64334170,2)</f>
        <v>64334170</v>
      </c>
      <c r="E77" s="8">
        <f t="shared" si="22"/>
        <v>0</v>
      </c>
      <c r="F77" s="8">
        <f t="shared" si="26"/>
        <v>0</v>
      </c>
      <c r="G77" s="8">
        <f t="shared" si="23"/>
        <v>0</v>
      </c>
      <c r="H77" s="8">
        <f>ROUND(64334170,2)</f>
        <v>64334170</v>
      </c>
      <c r="I77" s="8">
        <f t="shared" si="32"/>
        <v>0</v>
      </c>
      <c r="J77" s="8">
        <f>ROUND(109042390.15,2)</f>
        <v>109042390.15</v>
      </c>
      <c r="K77" s="8">
        <f t="shared" si="30"/>
        <v>0</v>
      </c>
      <c r="L77" s="8">
        <f>ROUND(79694207.56,2)</f>
        <v>79694207.56</v>
      </c>
      <c r="M77" s="8">
        <f t="shared" si="29"/>
        <v>0</v>
      </c>
      <c r="N77" s="8">
        <f>ROUND(29348182.59,2)</f>
        <v>29348182.59</v>
      </c>
      <c r="O77" s="8">
        <f t="shared" si="31"/>
        <v>0</v>
      </c>
    </row>
    <row r="78" spans="1:15" ht="23.25">
      <c r="A78" s="2" t="s">
        <v>42</v>
      </c>
      <c r="B78" s="7" t="s">
        <v>263</v>
      </c>
      <c r="C78" s="7" t="s">
        <v>6</v>
      </c>
      <c r="D78" s="8">
        <f>ROUND(24362280,2)</f>
        <v>24362280</v>
      </c>
      <c r="E78" s="8">
        <f t="shared" si="22"/>
        <v>0</v>
      </c>
      <c r="F78" s="8">
        <f t="shared" si="26"/>
        <v>0</v>
      </c>
      <c r="G78" s="8">
        <f t="shared" si="23"/>
        <v>0</v>
      </c>
      <c r="H78" s="8">
        <f>ROUND(24362280,2)</f>
        <v>24362280</v>
      </c>
      <c r="I78" s="8">
        <f t="shared" si="32"/>
        <v>0</v>
      </c>
      <c r="J78" s="8">
        <f>ROUND(80440284.14,2)</f>
        <v>80440284.14</v>
      </c>
      <c r="K78" s="8">
        <f t="shared" si="30"/>
        <v>0</v>
      </c>
      <c r="L78" s="8">
        <f>ROUND(68496652.2,2)</f>
        <v>68496652.2</v>
      </c>
      <c r="M78" s="8">
        <f t="shared" si="29"/>
        <v>0</v>
      </c>
      <c r="N78" s="8">
        <f>ROUND(11943631.94,2)</f>
        <v>11943631.94</v>
      </c>
      <c r="O78" s="8">
        <f t="shared" si="31"/>
        <v>0</v>
      </c>
    </row>
    <row r="79" spans="1:15" ht="23.25">
      <c r="A79" s="2" t="s">
        <v>172</v>
      </c>
      <c r="B79" s="7" t="s">
        <v>13</v>
      </c>
      <c r="C79" s="7" t="s">
        <v>285</v>
      </c>
      <c r="D79" s="8">
        <f>ROUND(13771200,2)</f>
        <v>13771200</v>
      </c>
      <c r="E79" s="8">
        <f t="shared" si="22"/>
        <v>0</v>
      </c>
      <c r="F79" s="8">
        <f t="shared" si="26"/>
        <v>0</v>
      </c>
      <c r="G79" s="8">
        <f t="shared" si="23"/>
        <v>0</v>
      </c>
      <c r="H79" s="8">
        <f>ROUND(13771200,2)</f>
        <v>13771200</v>
      </c>
      <c r="I79" s="8">
        <f t="shared" si="32"/>
        <v>0</v>
      </c>
      <c r="J79" s="8">
        <f>ROUND(8086735.26,2)</f>
        <v>8086735.26</v>
      </c>
      <c r="K79" s="8">
        <f t="shared" si="30"/>
        <v>0</v>
      </c>
      <c r="L79" s="8">
        <f>ROUND(2920485.64,2)</f>
        <v>2920485.64</v>
      </c>
      <c r="M79" s="8">
        <f t="shared" si="29"/>
        <v>0</v>
      </c>
      <c r="N79" s="8">
        <f>ROUND(5166249.62,2)</f>
        <v>5166249.62</v>
      </c>
      <c r="O79" s="8">
        <f t="shared" si="31"/>
        <v>0</v>
      </c>
    </row>
    <row r="80" spans="1:15" ht="23.25">
      <c r="A80" s="2" t="s">
        <v>38</v>
      </c>
      <c r="B80" s="7" t="s">
        <v>287</v>
      </c>
      <c r="C80" s="7" t="s">
        <v>36</v>
      </c>
      <c r="D80" s="8">
        <f>ROUND(26200690,2)</f>
        <v>26200690</v>
      </c>
      <c r="E80" s="8">
        <f t="shared" si="22"/>
        <v>0</v>
      </c>
      <c r="F80" s="8">
        <f t="shared" si="26"/>
        <v>0</v>
      </c>
      <c r="G80" s="8">
        <f t="shared" si="23"/>
        <v>0</v>
      </c>
      <c r="H80" s="8">
        <f>ROUND(26200690,2)</f>
        <v>26200690</v>
      </c>
      <c r="I80" s="8">
        <f t="shared" si="32"/>
        <v>0</v>
      </c>
      <c r="J80" s="8">
        <f>ROUND(20515370.75,2)</f>
        <v>20515370.75</v>
      </c>
      <c r="K80" s="8">
        <f t="shared" si="30"/>
        <v>0</v>
      </c>
      <c r="L80" s="8">
        <f>ROUND(8277069.72,2)</f>
        <v>8277069.72</v>
      </c>
      <c r="M80" s="8">
        <f t="shared" si="29"/>
        <v>0</v>
      </c>
      <c r="N80" s="8">
        <f>ROUND(12238301.03,2)</f>
        <v>12238301.03</v>
      </c>
      <c r="O80" s="8">
        <f t="shared" si="31"/>
        <v>0</v>
      </c>
    </row>
    <row r="81" spans="1:15" ht="34.5">
      <c r="A81" s="2" t="s">
        <v>167</v>
      </c>
      <c r="B81" s="7" t="s">
        <v>10</v>
      </c>
      <c r="C81" s="7" t="s">
        <v>29</v>
      </c>
      <c r="D81" s="8">
        <f>ROUND(19483874,2)</f>
        <v>19483874</v>
      </c>
      <c r="E81" s="8">
        <f t="shared" si="22"/>
        <v>0</v>
      </c>
      <c r="F81" s="8">
        <f t="shared" si="26"/>
        <v>0</v>
      </c>
      <c r="G81" s="8">
        <f t="shared" si="23"/>
        <v>0</v>
      </c>
      <c r="H81" s="8">
        <f>ROUND(19483874,2)</f>
        <v>19483874</v>
      </c>
      <c r="I81" s="8">
        <f t="shared" si="32"/>
        <v>0</v>
      </c>
      <c r="J81" s="8">
        <f>ROUND(41023551.62,2)</f>
        <v>41023551.62</v>
      </c>
      <c r="K81" s="8">
        <f t="shared" si="30"/>
        <v>0</v>
      </c>
      <c r="L81" s="8">
        <f>ROUND(32997094.56,2)</f>
        <v>32997094.56</v>
      </c>
      <c r="M81" s="8">
        <f t="shared" si="29"/>
        <v>0</v>
      </c>
      <c r="N81" s="8">
        <f>ROUND(8026457.06,2)</f>
        <v>8026457.06</v>
      </c>
      <c r="O81" s="8">
        <f t="shared" si="31"/>
        <v>0</v>
      </c>
    </row>
    <row r="82" spans="1:15" ht="23.25">
      <c r="A82" s="2" t="s">
        <v>59</v>
      </c>
      <c r="B82" s="7" t="s">
        <v>95</v>
      </c>
      <c r="C82" s="7" t="s">
        <v>252</v>
      </c>
      <c r="D82" s="8">
        <f>ROUND(7450372,2)</f>
        <v>7450372</v>
      </c>
      <c r="E82" s="8">
        <f t="shared" si="22"/>
        <v>0</v>
      </c>
      <c r="F82" s="8">
        <f t="shared" si="26"/>
        <v>0</v>
      </c>
      <c r="G82" s="8">
        <f t="shared" si="23"/>
        <v>0</v>
      </c>
      <c r="H82" s="8">
        <f>ROUND(7450372,2)</f>
        <v>7450372</v>
      </c>
      <c r="I82" s="8">
        <f t="shared" si="32"/>
        <v>0</v>
      </c>
      <c r="J82" s="8">
        <f>ROUND(19542242.94,2)</f>
        <v>19542242.94</v>
      </c>
      <c r="K82" s="8">
        <f t="shared" si="30"/>
        <v>0</v>
      </c>
      <c r="L82" s="8">
        <f>ROUND(16294426.32,2)</f>
        <v>16294426.32</v>
      </c>
      <c r="M82" s="8">
        <f t="shared" si="29"/>
        <v>0</v>
      </c>
      <c r="N82" s="8">
        <f>ROUND(3247816.62,2)</f>
        <v>3247816.62</v>
      </c>
      <c r="O82" s="8">
        <f t="shared" si="31"/>
        <v>0</v>
      </c>
    </row>
    <row r="83" spans="1:15" ht="23.25">
      <c r="A83" s="2" t="s">
        <v>152</v>
      </c>
      <c r="B83" s="7" t="s">
        <v>199</v>
      </c>
      <c r="C83" s="7" t="s">
        <v>285</v>
      </c>
      <c r="D83" s="8">
        <f>ROUND(4280600,2)</f>
        <v>4280600</v>
      </c>
      <c r="E83" s="8">
        <f t="shared" si="22"/>
        <v>0</v>
      </c>
      <c r="F83" s="8">
        <f t="shared" si="26"/>
        <v>0</v>
      </c>
      <c r="G83" s="8">
        <f t="shared" si="23"/>
        <v>0</v>
      </c>
      <c r="H83" s="8">
        <f>ROUND(4280600,2)</f>
        <v>4280600</v>
      </c>
      <c r="I83" s="8">
        <f t="shared" si="32"/>
        <v>0</v>
      </c>
      <c r="J83" s="8">
        <f>ROUND(1794043.42,2)</f>
        <v>1794043.42</v>
      </c>
      <c r="K83" s="8">
        <f t="shared" si="30"/>
        <v>0</v>
      </c>
      <c r="L83" s="8">
        <f>ROUND(204120.96,2)</f>
        <v>204120.96</v>
      </c>
      <c r="M83" s="8">
        <f t="shared" si="29"/>
        <v>0</v>
      </c>
      <c r="N83" s="8">
        <f>ROUND(1589922.46,2)</f>
        <v>1589922.46</v>
      </c>
      <c r="O83" s="8">
        <f t="shared" si="31"/>
        <v>0</v>
      </c>
    </row>
    <row r="84" spans="1:15" ht="23.25">
      <c r="A84" s="2" t="s">
        <v>87</v>
      </c>
      <c r="B84" s="7" t="s">
        <v>77</v>
      </c>
      <c r="C84" s="7" t="s">
        <v>36</v>
      </c>
      <c r="D84" s="8">
        <f>ROUND(7752902,2)</f>
        <v>7752902</v>
      </c>
      <c r="E84" s="8">
        <f t="shared" si="22"/>
        <v>0</v>
      </c>
      <c r="F84" s="8">
        <f t="shared" si="26"/>
        <v>0</v>
      </c>
      <c r="G84" s="8">
        <f t="shared" si="23"/>
        <v>0</v>
      </c>
      <c r="H84" s="8">
        <f>ROUND(7752902,2)</f>
        <v>7752902</v>
      </c>
      <c r="I84" s="8">
        <f t="shared" si="32"/>
        <v>0</v>
      </c>
      <c r="J84" s="8">
        <f>ROUND(19687265.26,2)</f>
        <v>19687265.26</v>
      </c>
      <c r="K84" s="8">
        <f t="shared" si="30"/>
        <v>0</v>
      </c>
      <c r="L84" s="8">
        <f>ROUND(16498547.28,2)</f>
        <v>16498547.28</v>
      </c>
      <c r="M84" s="8">
        <f t="shared" si="29"/>
        <v>0</v>
      </c>
      <c r="N84" s="8">
        <f>ROUND(3188717.98,2)</f>
        <v>3188717.98</v>
      </c>
      <c r="O84" s="8">
        <f t="shared" si="31"/>
        <v>0</v>
      </c>
    </row>
    <row r="85" spans="1:15" ht="45.75">
      <c r="A85" s="2" t="s">
        <v>178</v>
      </c>
      <c r="B85" s="7" t="s">
        <v>192</v>
      </c>
      <c r="C85" s="7" t="s">
        <v>182</v>
      </c>
      <c r="D85" s="8">
        <f>ROUND(23623754,2)</f>
        <v>23623754</v>
      </c>
      <c r="E85" s="8">
        <f t="shared" si="22"/>
        <v>0</v>
      </c>
      <c r="F85" s="8">
        <f>ROUND(23623754,2)</f>
        <v>23623754</v>
      </c>
      <c r="G85" s="8">
        <f t="shared" si="23"/>
        <v>0</v>
      </c>
      <c r="H85" s="8">
        <f aca="true" t="shared" si="33" ref="H85:H90">ROUND(0,2)</f>
        <v>0</v>
      </c>
      <c r="I85" s="8">
        <f t="shared" si="32"/>
        <v>0</v>
      </c>
      <c r="J85" s="8">
        <f>ROUND(10270169.15,2)</f>
        <v>10270169.15</v>
      </c>
      <c r="K85" s="8">
        <f t="shared" si="30"/>
        <v>0</v>
      </c>
      <c r="L85" s="8">
        <f>ROUND(10270169.15,2)</f>
        <v>10270169.15</v>
      </c>
      <c r="M85" s="8">
        <f t="shared" si="29"/>
        <v>0</v>
      </c>
      <c r="N85" s="8">
        <f aca="true" t="shared" si="34" ref="N85:N90">ROUND(0,2)</f>
        <v>0</v>
      </c>
      <c r="O85" s="8">
        <f t="shared" si="31"/>
        <v>0</v>
      </c>
    </row>
    <row r="86" spans="1:15" ht="57">
      <c r="A86" s="2" t="s">
        <v>162</v>
      </c>
      <c r="B86" s="7" t="s">
        <v>91</v>
      </c>
      <c r="C86" s="7" t="s">
        <v>15</v>
      </c>
      <c r="D86" s="8">
        <f>ROUND(23623754,2)</f>
        <v>23623754</v>
      </c>
      <c r="E86" s="8">
        <f t="shared" si="22"/>
        <v>0</v>
      </c>
      <c r="F86" s="8">
        <f>ROUND(23623754,2)</f>
        <v>23623754</v>
      </c>
      <c r="G86" s="8">
        <f t="shared" si="23"/>
        <v>0</v>
      </c>
      <c r="H86" s="8">
        <f t="shared" si="33"/>
        <v>0</v>
      </c>
      <c r="I86" s="8">
        <f t="shared" si="32"/>
        <v>0</v>
      </c>
      <c r="J86" s="8">
        <f>ROUND(10270169.15,2)</f>
        <v>10270169.15</v>
      </c>
      <c r="K86" s="8">
        <f t="shared" si="30"/>
        <v>0</v>
      </c>
      <c r="L86" s="8">
        <f>ROUND(10270169.15,2)</f>
        <v>10270169.15</v>
      </c>
      <c r="M86" s="8">
        <f t="shared" si="29"/>
        <v>0</v>
      </c>
      <c r="N86" s="8">
        <f t="shared" si="34"/>
        <v>0</v>
      </c>
      <c r="O86" s="8">
        <f t="shared" si="31"/>
        <v>0</v>
      </c>
    </row>
    <row r="87" spans="1:15" ht="23.25">
      <c r="A87" s="2" t="s">
        <v>30</v>
      </c>
      <c r="B87" s="7" t="s">
        <v>224</v>
      </c>
      <c r="C87" s="7" t="s">
        <v>114</v>
      </c>
      <c r="D87" s="8">
        <f>ROUND(23623754,2)</f>
        <v>23623754</v>
      </c>
      <c r="E87" s="8">
        <f t="shared" si="22"/>
        <v>0</v>
      </c>
      <c r="F87" s="8">
        <f>ROUND(23623754,2)</f>
        <v>23623754</v>
      </c>
      <c r="G87" s="8">
        <f t="shared" si="23"/>
        <v>0</v>
      </c>
      <c r="H87" s="8">
        <f t="shared" si="33"/>
        <v>0</v>
      </c>
      <c r="I87" s="8">
        <f t="shared" si="32"/>
        <v>0</v>
      </c>
      <c r="J87" s="8">
        <f>ROUND(10270169.15,2)</f>
        <v>10270169.15</v>
      </c>
      <c r="K87" s="8">
        <f t="shared" si="30"/>
        <v>0</v>
      </c>
      <c r="L87" s="8">
        <f>ROUND(10270169.15,2)</f>
        <v>10270169.15</v>
      </c>
      <c r="M87" s="8">
        <f t="shared" si="29"/>
        <v>0</v>
      </c>
      <c r="N87" s="8">
        <f t="shared" si="34"/>
        <v>0</v>
      </c>
      <c r="O87" s="8">
        <f t="shared" si="31"/>
        <v>0</v>
      </c>
    </row>
    <row r="88" spans="1:15" ht="34.5">
      <c r="A88" s="2" t="s">
        <v>31</v>
      </c>
      <c r="B88" s="7" t="s">
        <v>16</v>
      </c>
      <c r="C88" s="7" t="s">
        <v>113</v>
      </c>
      <c r="D88" s="8">
        <f>ROUND(7110490,2)</f>
        <v>7110490</v>
      </c>
      <c r="E88" s="8">
        <f t="shared" si="22"/>
        <v>0</v>
      </c>
      <c r="F88" s="8">
        <f>ROUND(7110490,2)</f>
        <v>7110490</v>
      </c>
      <c r="G88" s="8">
        <f t="shared" si="23"/>
        <v>0</v>
      </c>
      <c r="H88" s="8">
        <f t="shared" si="33"/>
        <v>0</v>
      </c>
      <c r="I88" s="8">
        <f t="shared" si="32"/>
        <v>0</v>
      </c>
      <c r="J88" s="8">
        <f>ROUND(3073134.19,2)</f>
        <v>3073134.19</v>
      </c>
      <c r="K88" s="8">
        <f t="shared" si="30"/>
        <v>0</v>
      </c>
      <c r="L88" s="8">
        <f>ROUND(3073134.19,2)</f>
        <v>3073134.19</v>
      </c>
      <c r="M88" s="8">
        <f t="shared" si="29"/>
        <v>0</v>
      </c>
      <c r="N88" s="8">
        <f t="shared" si="34"/>
        <v>0</v>
      </c>
      <c r="O88" s="8">
        <f t="shared" si="31"/>
        <v>0</v>
      </c>
    </row>
    <row r="89" spans="1:15" ht="57">
      <c r="A89" s="2" t="s">
        <v>149</v>
      </c>
      <c r="B89" s="7" t="s">
        <v>271</v>
      </c>
      <c r="C89" s="7" t="s">
        <v>15</v>
      </c>
      <c r="D89" s="8">
        <f>ROUND(7110490,2)</f>
        <v>7110490</v>
      </c>
      <c r="E89" s="8">
        <f t="shared" si="22"/>
        <v>0</v>
      </c>
      <c r="F89" s="8">
        <f>ROUND(7110490,2)</f>
        <v>7110490</v>
      </c>
      <c r="G89" s="8">
        <f t="shared" si="23"/>
        <v>0</v>
      </c>
      <c r="H89" s="8">
        <f t="shared" si="33"/>
        <v>0</v>
      </c>
      <c r="I89" s="8">
        <f t="shared" si="32"/>
        <v>0</v>
      </c>
      <c r="J89" s="8">
        <f>ROUND(3073134.19,2)</f>
        <v>3073134.19</v>
      </c>
      <c r="K89" s="8">
        <f t="shared" si="30"/>
        <v>0</v>
      </c>
      <c r="L89" s="8">
        <f>ROUND(3073134.19,2)</f>
        <v>3073134.19</v>
      </c>
      <c r="M89" s="8">
        <f t="shared" si="29"/>
        <v>0</v>
      </c>
      <c r="N89" s="8">
        <f t="shared" si="34"/>
        <v>0</v>
      </c>
      <c r="O89" s="8">
        <f t="shared" si="31"/>
        <v>0</v>
      </c>
    </row>
    <row r="90" spans="1:15" ht="23.25">
      <c r="A90" s="2" t="s">
        <v>63</v>
      </c>
      <c r="B90" s="7" t="s">
        <v>128</v>
      </c>
      <c r="C90" s="7" t="s">
        <v>114</v>
      </c>
      <c r="D90" s="8">
        <f>ROUND(7110490,2)</f>
        <v>7110490</v>
      </c>
      <c r="E90" s="8">
        <f t="shared" si="22"/>
        <v>0</v>
      </c>
      <c r="F90" s="8">
        <f>ROUND(7110490,2)</f>
        <v>7110490</v>
      </c>
      <c r="G90" s="8">
        <f t="shared" si="23"/>
        <v>0</v>
      </c>
      <c r="H90" s="8">
        <f t="shared" si="33"/>
        <v>0</v>
      </c>
      <c r="I90" s="8">
        <f t="shared" si="32"/>
        <v>0</v>
      </c>
      <c r="J90" s="8">
        <f>ROUND(3073134.19,2)</f>
        <v>3073134.19</v>
      </c>
      <c r="K90" s="8">
        <f t="shared" si="30"/>
        <v>0</v>
      </c>
      <c r="L90" s="8">
        <f>ROUND(3073134.19,2)</f>
        <v>3073134.19</v>
      </c>
      <c r="M90" s="8">
        <f t="shared" si="29"/>
        <v>0</v>
      </c>
      <c r="N90" s="8">
        <f t="shared" si="34"/>
        <v>0</v>
      </c>
      <c r="O90" s="8">
        <f t="shared" si="31"/>
        <v>0</v>
      </c>
    </row>
    <row r="91" spans="1:15" ht="57">
      <c r="A91" s="2" t="s">
        <v>37</v>
      </c>
      <c r="B91" s="7" t="s">
        <v>171</v>
      </c>
      <c r="C91" s="7" t="s">
        <v>112</v>
      </c>
      <c r="D91" s="8">
        <f>ROUND(78919806.65,2)</f>
        <v>78919806.65</v>
      </c>
      <c r="E91" s="8">
        <f t="shared" si="22"/>
        <v>0</v>
      </c>
      <c r="F91" s="8">
        <f>ROUND(34067186.65,2)</f>
        <v>34067186.65</v>
      </c>
      <c r="G91" s="8">
        <f t="shared" si="23"/>
        <v>0</v>
      </c>
      <c r="H91" s="8">
        <f>ROUND(44852620,2)</f>
        <v>44852620</v>
      </c>
      <c r="I91" s="8">
        <f t="shared" si="32"/>
        <v>0</v>
      </c>
      <c r="J91" s="8">
        <f>ROUND(39047197.89,2)</f>
        <v>39047197.89</v>
      </c>
      <c r="K91" s="8">
        <f t="shared" si="30"/>
        <v>0</v>
      </c>
      <c r="L91" s="8">
        <f>ROUND(16726626.36,2)</f>
        <v>16726626.36</v>
      </c>
      <c r="M91" s="8">
        <f t="shared" si="29"/>
        <v>0</v>
      </c>
      <c r="N91" s="8">
        <f>ROUND(22320571.53,2)</f>
        <v>22320571.53</v>
      </c>
      <c r="O91" s="8">
        <f t="shared" si="31"/>
        <v>0</v>
      </c>
    </row>
    <row r="92" spans="1:15" ht="34.5">
      <c r="A92" s="2" t="s">
        <v>166</v>
      </c>
      <c r="B92" s="7" t="s">
        <v>84</v>
      </c>
      <c r="C92" s="7" t="s">
        <v>97</v>
      </c>
      <c r="D92" s="8">
        <f>ROUND(45798500,2)</f>
        <v>45798500</v>
      </c>
      <c r="E92" s="8">
        <f t="shared" si="22"/>
        <v>0</v>
      </c>
      <c r="F92" s="8">
        <f>ROUND(21855700,2)</f>
        <v>21855700</v>
      </c>
      <c r="G92" s="8">
        <f t="shared" si="23"/>
        <v>0</v>
      </c>
      <c r="H92" s="8">
        <f>ROUND(23942800,2)</f>
        <v>23942800</v>
      </c>
      <c r="I92" s="8">
        <f t="shared" si="32"/>
        <v>0</v>
      </c>
      <c r="J92" s="8">
        <f>ROUND(20735112.57,2)</f>
        <v>20735112.57</v>
      </c>
      <c r="K92" s="8">
        <f t="shared" si="30"/>
        <v>0</v>
      </c>
      <c r="L92" s="8">
        <f>ROUND(9442165.92,2)</f>
        <v>9442165.92</v>
      </c>
      <c r="M92" s="8">
        <f t="shared" si="29"/>
        <v>0</v>
      </c>
      <c r="N92" s="8">
        <f>ROUND(11292946.65,2)</f>
        <v>11292946.65</v>
      </c>
      <c r="O92" s="8">
        <f t="shared" si="31"/>
        <v>0</v>
      </c>
    </row>
    <row r="93" spans="1:15" ht="23.25">
      <c r="A93" s="2" t="s">
        <v>4</v>
      </c>
      <c r="B93" s="7"/>
      <c r="C93" s="7" t="s">
        <v>268</v>
      </c>
      <c r="D93" s="8">
        <f>ROUND(9052900,2)</f>
        <v>9052900</v>
      </c>
      <c r="E93" s="8">
        <f t="shared" si="22"/>
        <v>0</v>
      </c>
      <c r="F93" s="8">
        <f>ROUND(1288000,2)</f>
        <v>1288000</v>
      </c>
      <c r="G93" s="8">
        <f t="shared" si="23"/>
        <v>0</v>
      </c>
      <c r="H93" s="8">
        <f>ROUND(7764900,2)</f>
        <v>7764900</v>
      </c>
      <c r="I93" s="8">
        <f t="shared" si="32"/>
        <v>0</v>
      </c>
      <c r="J93" s="8">
        <f>ROUND(3829791.85,2)</f>
        <v>3829791.85</v>
      </c>
      <c r="K93" s="8">
        <f t="shared" si="30"/>
        <v>0</v>
      </c>
      <c r="L93" s="8">
        <f>ROUND(462114.85,2)</f>
        <v>462114.85</v>
      </c>
      <c r="M93" s="8">
        <f t="shared" si="29"/>
        <v>0</v>
      </c>
      <c r="N93" s="8">
        <f>ROUND(3367677,2)</f>
        <v>3367677</v>
      </c>
      <c r="O93" s="8">
        <f t="shared" si="31"/>
        <v>0</v>
      </c>
    </row>
    <row r="94" spans="1:15" ht="23.25">
      <c r="A94" s="2" t="s">
        <v>189</v>
      </c>
      <c r="B94" s="7"/>
      <c r="C94" s="7" t="s">
        <v>66</v>
      </c>
      <c r="D94" s="8">
        <f>ROUND(23016197,2)</f>
        <v>23016197</v>
      </c>
      <c r="E94" s="8">
        <f t="shared" si="22"/>
        <v>0</v>
      </c>
      <c r="F94" s="8">
        <f>ROUND(15767900,2)</f>
        <v>15767900</v>
      </c>
      <c r="G94" s="8">
        <f t="shared" si="23"/>
        <v>0</v>
      </c>
      <c r="H94" s="8">
        <f>ROUND(7248297,2)</f>
        <v>7248297</v>
      </c>
      <c r="I94" s="8">
        <f t="shared" si="32"/>
        <v>0</v>
      </c>
      <c r="J94" s="8">
        <f>ROUND(10194677.54,2)</f>
        <v>10194677.54</v>
      </c>
      <c r="K94" s="8">
        <f t="shared" si="30"/>
        <v>0</v>
      </c>
      <c r="L94" s="8">
        <f>ROUND(6436354.35,2)</f>
        <v>6436354.35</v>
      </c>
      <c r="M94" s="8">
        <f t="shared" si="29"/>
        <v>0</v>
      </c>
      <c r="N94" s="8">
        <f>ROUND(3758323.19,2)</f>
        <v>3758323.19</v>
      </c>
      <c r="O94" s="8">
        <f t="shared" si="31"/>
        <v>0</v>
      </c>
    </row>
    <row r="95" spans="1:15" ht="12.75">
      <c r="A95" s="2" t="s">
        <v>58</v>
      </c>
      <c r="B95" s="7"/>
      <c r="C95" s="7" t="s">
        <v>45</v>
      </c>
      <c r="D95" s="8">
        <f>ROUND(13729403,2)</f>
        <v>13729403</v>
      </c>
      <c r="E95" s="8">
        <f t="shared" si="22"/>
        <v>0</v>
      </c>
      <c r="F95" s="8">
        <f>ROUND(4799800,2)</f>
        <v>4799800</v>
      </c>
      <c r="G95" s="8">
        <f t="shared" si="23"/>
        <v>0</v>
      </c>
      <c r="H95" s="8">
        <f>ROUND(8929603,2)</f>
        <v>8929603</v>
      </c>
      <c r="I95" s="8">
        <f t="shared" si="32"/>
        <v>0</v>
      </c>
      <c r="J95" s="8">
        <f>ROUND(6710643.18,2)</f>
        <v>6710643.18</v>
      </c>
      <c r="K95" s="8">
        <f t="shared" si="30"/>
        <v>0</v>
      </c>
      <c r="L95" s="8">
        <f>ROUND(2543696.72,2)</f>
        <v>2543696.72</v>
      </c>
      <c r="M95" s="8">
        <f t="shared" si="29"/>
        <v>0</v>
      </c>
      <c r="N95" s="8">
        <f>ROUND(4166946.46,2)</f>
        <v>4166946.46</v>
      </c>
      <c r="O95" s="8">
        <f t="shared" si="31"/>
        <v>0</v>
      </c>
    </row>
    <row r="96" spans="1:15" ht="34.5">
      <c r="A96" s="2" t="s">
        <v>151</v>
      </c>
      <c r="B96" s="7" t="s">
        <v>223</v>
      </c>
      <c r="C96" s="7" t="s">
        <v>90</v>
      </c>
      <c r="D96" s="8">
        <f>ROUND(13691273,2)</f>
        <v>13691273</v>
      </c>
      <c r="E96" s="8">
        <f t="shared" si="22"/>
        <v>0</v>
      </c>
      <c r="F96" s="8">
        <f>ROUND(6496373,2)</f>
        <v>6496373</v>
      </c>
      <c r="G96" s="8">
        <f t="shared" si="23"/>
        <v>0</v>
      </c>
      <c r="H96" s="8">
        <f>ROUND(7194900,2)</f>
        <v>7194900</v>
      </c>
      <c r="I96" s="8">
        <f t="shared" si="32"/>
        <v>0</v>
      </c>
      <c r="J96" s="8">
        <f>ROUND(5786722.89,2)</f>
        <v>5786722.89</v>
      </c>
      <c r="K96" s="8">
        <f t="shared" si="30"/>
        <v>0</v>
      </c>
      <c r="L96" s="8">
        <f>ROUND(2769564.85,2)</f>
        <v>2769564.85</v>
      </c>
      <c r="M96" s="8">
        <f t="shared" si="29"/>
        <v>0</v>
      </c>
      <c r="N96" s="8">
        <f>ROUND(3017158.04,2)</f>
        <v>3017158.04</v>
      </c>
      <c r="O96" s="8">
        <f t="shared" si="31"/>
        <v>0</v>
      </c>
    </row>
    <row r="97" spans="1:15" ht="23.25">
      <c r="A97" s="2" t="s">
        <v>28</v>
      </c>
      <c r="B97" s="7"/>
      <c r="C97" s="7" t="s">
        <v>268</v>
      </c>
      <c r="D97" s="8">
        <f>ROUND(2628000,2)</f>
        <v>2628000</v>
      </c>
      <c r="E97" s="8">
        <f t="shared" si="22"/>
        <v>0</v>
      </c>
      <c r="F97" s="8">
        <f>ROUND(321000,2)</f>
        <v>321000</v>
      </c>
      <c r="G97" s="8">
        <f t="shared" si="23"/>
        <v>0</v>
      </c>
      <c r="H97" s="8">
        <f>ROUND(2307000,2)</f>
        <v>2307000</v>
      </c>
      <c r="I97" s="8">
        <f t="shared" si="32"/>
        <v>0</v>
      </c>
      <c r="J97" s="8">
        <f>ROUND(1111949.96,2)</f>
        <v>1111949.96</v>
      </c>
      <c r="K97" s="8">
        <f t="shared" si="30"/>
        <v>0</v>
      </c>
      <c r="L97" s="8">
        <f>ROUND(125426,2)</f>
        <v>125426</v>
      </c>
      <c r="M97" s="8">
        <f t="shared" si="29"/>
        <v>0</v>
      </c>
      <c r="N97" s="8">
        <f>ROUND(986523.96,2)</f>
        <v>986523.96</v>
      </c>
      <c r="O97" s="8">
        <f t="shared" si="31"/>
        <v>0</v>
      </c>
    </row>
    <row r="98" spans="1:15" ht="23.25">
      <c r="A98" s="2" t="s">
        <v>154</v>
      </c>
      <c r="B98" s="7"/>
      <c r="C98" s="7" t="s">
        <v>66</v>
      </c>
      <c r="D98" s="8">
        <f>ROUND(7413906,2)</f>
        <v>7413906</v>
      </c>
      <c r="E98" s="8">
        <f t="shared" si="22"/>
        <v>0</v>
      </c>
      <c r="F98" s="8">
        <f>ROUND(5159431,2)</f>
        <v>5159431</v>
      </c>
      <c r="G98" s="8">
        <f t="shared" si="23"/>
        <v>0</v>
      </c>
      <c r="H98" s="8">
        <f>ROUND(2254475,2)</f>
        <v>2254475</v>
      </c>
      <c r="I98" s="8">
        <f t="shared" si="32"/>
        <v>0</v>
      </c>
      <c r="J98" s="8">
        <f>ROUND(2915337.69,2)</f>
        <v>2915337.69</v>
      </c>
      <c r="K98" s="8">
        <f t="shared" si="30"/>
        <v>0</v>
      </c>
      <c r="L98" s="8">
        <f>ROUND(1954818.67,2)</f>
        <v>1954818.67</v>
      </c>
      <c r="M98" s="8">
        <f t="shared" si="29"/>
        <v>0</v>
      </c>
      <c r="N98" s="8">
        <f>ROUND(960519.02,2)</f>
        <v>960519.02</v>
      </c>
      <c r="O98" s="8">
        <f t="shared" si="31"/>
        <v>0</v>
      </c>
    </row>
    <row r="99" spans="1:15" ht="12.75">
      <c r="A99" s="2" t="s">
        <v>25</v>
      </c>
      <c r="B99" s="7"/>
      <c r="C99" s="7" t="s">
        <v>45</v>
      </c>
      <c r="D99" s="8">
        <f>ROUND(3649367,2)</f>
        <v>3649367</v>
      </c>
      <c r="E99" s="8">
        <f t="shared" si="22"/>
        <v>0</v>
      </c>
      <c r="F99" s="8">
        <f>ROUND(1015942,2)</f>
        <v>1015942</v>
      </c>
      <c r="G99" s="8">
        <f t="shared" si="23"/>
        <v>0</v>
      </c>
      <c r="H99" s="8">
        <f>ROUND(2633425,2)</f>
        <v>2633425</v>
      </c>
      <c r="I99" s="8">
        <f t="shared" si="32"/>
        <v>0</v>
      </c>
      <c r="J99" s="8">
        <f>ROUND(1759435.24,2)</f>
        <v>1759435.24</v>
      </c>
      <c r="K99" s="8">
        <f t="shared" si="30"/>
        <v>0</v>
      </c>
      <c r="L99" s="8">
        <f>ROUND(689320.18,2)</f>
        <v>689320.18</v>
      </c>
      <c r="M99" s="8">
        <f t="shared" si="29"/>
        <v>0</v>
      </c>
      <c r="N99" s="8">
        <f>ROUND(1070115.06,2)</f>
        <v>1070115.06</v>
      </c>
      <c r="O99" s="8">
        <f t="shared" si="31"/>
        <v>0</v>
      </c>
    </row>
    <row r="100" spans="2:15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 t="s">
        <v>209</v>
      </c>
      <c r="O100" s="11"/>
    </row>
    <row r="101" spans="2:15" ht="12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2" t="s">
        <v>110</v>
      </c>
      <c r="O101" s="11"/>
    </row>
    <row r="102" spans="2:15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3" t="s">
        <v>209</v>
      </c>
      <c r="O102" s="11"/>
    </row>
    <row r="103" spans="2:15" ht="12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2" t="s">
        <v>110</v>
      </c>
      <c r="O103" s="11"/>
    </row>
  </sheetData>
  <mergeCells count="16">
    <mergeCell ref="N100:O100"/>
    <mergeCell ref="N101:O101"/>
    <mergeCell ref="N102:O102"/>
    <mergeCell ref="N103:O103"/>
    <mergeCell ref="N1:O1"/>
    <mergeCell ref="N2:O2"/>
    <mergeCell ref="N3:O3"/>
    <mergeCell ref="I1:L1"/>
    <mergeCell ref="I2:L2"/>
    <mergeCell ref="I3:L3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58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2012-07-16T05:35:47Z</dcterms:created>
  <dcterms:modified xsi:type="dcterms:W3CDTF">2012-07-16T05:35:47Z</dcterms:modified>
  <cp:category/>
  <cp:version/>
  <cp:contentType/>
  <cp:contentStatus/>
</cp:coreProperties>
</file>