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<sst xmlns="http://schemas.openxmlformats.org/spreadsheetml/2006/main" count="111" uniqueCount="103">
  <si>
    <t>18,10</t>
  </si>
  <si>
    <t>ВСЕГО по Новохоперскому району</t>
  </si>
  <si>
    <t>16  16 Муниципальные районы Исполнено</t>
  </si>
  <si>
    <t>00000000000000000226</t>
  </si>
  <si>
    <t>Социальные пособия, выплачиваемые организациями сектора государственного управления</t>
  </si>
  <si>
    <t>12  12 Консолидированный Исполнено</t>
  </si>
  <si>
    <t>18,4</t>
  </si>
  <si>
    <t>Расходы</t>
  </si>
  <si>
    <t>00000000000000000262</t>
  </si>
  <si>
    <t>Пособия по социальной помощи населению</t>
  </si>
  <si>
    <t>00000000000000000222</t>
  </si>
  <si>
    <t>Расходы бюджета - ВСЕГО</t>
  </si>
  <si>
    <t>00000000000000000241</t>
  </si>
  <si>
    <t>18,2</t>
  </si>
  <si>
    <t>17  17 Городские и сельские поселения Исполнено</t>
  </si>
  <si>
    <t>7  7 Муниципальные районы План на год</t>
  </si>
  <si>
    <t>00000000000000000224</t>
  </si>
  <si>
    <t>18,12</t>
  </si>
  <si>
    <t>00000000000000000220</t>
  </si>
  <si>
    <t>18,18</t>
  </si>
  <si>
    <t>№ листа / № строки</t>
  </si>
  <si>
    <t>00000000000000000260</t>
  </si>
  <si>
    <t>Оплата труда</t>
  </si>
  <si>
    <t>18,33</t>
  </si>
  <si>
    <t>18,6</t>
  </si>
  <si>
    <t>Результат исполнения бюджета (дефицит "--", профицит "+")</t>
  </si>
  <si>
    <t>18,8</t>
  </si>
  <si>
    <t>Социальное обеспечение</t>
  </si>
  <si>
    <t>Прочие выплаты</t>
  </si>
  <si>
    <t>00079000000000000000</t>
  </si>
  <si>
    <t>00000000000000000213</t>
  </si>
  <si>
    <t>4  4 Суммы, подлежащие исключению Консолид. План на год</t>
  </si>
  <si>
    <t>00098000000000000000</t>
  </si>
  <si>
    <t>8  8 Городские и сельские поселения План на год</t>
  </si>
  <si>
    <t>18,21</t>
  </si>
  <si>
    <t>Приобретение услуг</t>
  </si>
  <si>
    <t>18,27</t>
  </si>
  <si>
    <t>00000000000000000251</t>
  </si>
  <si>
    <t>00000000000000000211</t>
  </si>
  <si>
    <t>18,29</t>
  </si>
  <si>
    <t>____________________</t>
  </si>
  <si>
    <t>18,42</t>
  </si>
  <si>
    <t>Оплата труда и начисления на оплату труда</t>
  </si>
  <si>
    <t>Транспортные услуги</t>
  </si>
  <si>
    <t>Безвозмездные и безвозвратные перечисления организациям</t>
  </si>
  <si>
    <t>Безвозмездные и безвозвратные перечисления  организациям, за исключением государственных и муниципальных организаций</t>
  </si>
  <si>
    <t>3  3 Консолидированный  План на год</t>
  </si>
  <si>
    <t>Ед. измерения: документа -  руб.</t>
  </si>
  <si>
    <t>00000000000000000340</t>
  </si>
  <si>
    <t>18,30</t>
  </si>
  <si>
    <t>18,5</t>
  </si>
  <si>
    <t>00000000000000000300</t>
  </si>
  <si>
    <t>Арендная плата за пользование имуществом</t>
  </si>
  <si>
    <t>Безвозмездные и безвозвратные перечисления государственным и муниципальным организациям</t>
  </si>
  <si>
    <t>00000000000000000223</t>
  </si>
  <si>
    <t>Безвозмездные и безвозвратные перечисления бюджетам</t>
  </si>
  <si>
    <t>00000000000000000263</t>
  </si>
  <si>
    <t>18,11</t>
  </si>
  <si>
    <t>Наименование показателя</t>
  </si>
  <si>
    <t>00000000000000000242</t>
  </si>
  <si>
    <t>Услуги связи</t>
  </si>
  <si>
    <t>18,1</t>
  </si>
  <si>
    <t>18,17</t>
  </si>
  <si>
    <t>18,19</t>
  </si>
  <si>
    <t>00000000000000000221</t>
  </si>
  <si>
    <t>18,9</t>
  </si>
  <si>
    <t>МЕСЯЧНЫЙ ОТЧЕТ ОБ ИСПОЛНЕНИИ БЮДЖЕТА</t>
  </si>
  <si>
    <t>18,7</t>
  </si>
  <si>
    <t>00000000000000000200</t>
  </si>
  <si>
    <t>00000000000000000240</t>
  </si>
  <si>
    <t>Увеличение стоимости материальных запасов</t>
  </si>
  <si>
    <t>18,3</t>
  </si>
  <si>
    <t>13  13 Суммы, подлежащие исключению Консолид. Исполнено</t>
  </si>
  <si>
    <t>18,13</t>
  </si>
  <si>
    <t xml:space="preserve"> </t>
  </si>
  <si>
    <t>00000000000000000225</t>
  </si>
  <si>
    <t>Поступление нефинансовых активов</t>
  </si>
  <si>
    <t>18,20</t>
  </si>
  <si>
    <t>00000000000000000310</t>
  </si>
  <si>
    <t>Прочие услуги</t>
  </si>
  <si>
    <t>18,41</t>
  </si>
  <si>
    <t>Коммунальные услуги</t>
  </si>
  <si>
    <t>Начисления на оплату труда</t>
  </si>
  <si>
    <t>18,24</t>
  </si>
  <si>
    <t>Ед. измерения: отчета -  руб.</t>
  </si>
  <si>
    <t>00000000000000000212</t>
  </si>
  <si>
    <t>Услуги по содержанию имущества</t>
  </si>
  <si>
    <t>Код показателя</t>
  </si>
  <si>
    <t>00096000000000000000</t>
  </si>
  <si>
    <t>Увеличение стоимости основных средств</t>
  </si>
  <si>
    <t>Прочие расходы</t>
  </si>
  <si>
    <t>18,28</t>
  </si>
  <si>
    <t>00000000000000000210</t>
  </si>
  <si>
    <t>Расходы бюджета - ИТОГО</t>
  </si>
  <si>
    <t>18,26</t>
  </si>
  <si>
    <t>00000000000000000250</t>
  </si>
  <si>
    <t>00000000000000000290</t>
  </si>
  <si>
    <t>Перечисления другим бюджетам бюджетной системы Российской Федерации</t>
  </si>
  <si>
    <t>Начальник отдела финансов</t>
  </si>
  <si>
    <t>Главный бухгалтер</t>
  </si>
  <si>
    <t>Е.Н.Гусева</t>
  </si>
  <si>
    <t>Н.И.Сарычева</t>
  </si>
  <si>
    <t>Расходы бюджета (краткие) на 01.07.2012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</si>
</sst>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9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4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5" fillId="0" borderId="0" xfId="0" applyAlignment="1">
      <alignment horizontal="left" vertical="top" wrapText="1"/>
    </xf>
    <xf numFmtId="0" fontId="5" fillId="0" borderId="0" xfId="0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167" fontId="6" fillId="0" borderId="0" xfId="0" applyFont="1" applyAlignment="1">
      <alignment horizontal="righ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="60" workbookViewId="0" topLeftCell="A1">
      <selection activeCell="G19" sqref="G19"/>
    </sheetView>
  </sheetViews>
  <sheetFormatPr defaultColWidth="9.140625" defaultRowHeight="12.75"/>
  <cols>
    <col min="1" max="1" width="7.421875" style="0" customWidth="1"/>
    <col min="2" max="2" width="20.7109375" style="0" customWidth="1"/>
    <col min="3" max="3" width="19.8515625" style="0" customWidth="1"/>
    <col min="4" max="4" width="15.00390625" style="0" customWidth="1"/>
    <col min="5" max="5" width="14.28125" style="0" customWidth="1"/>
    <col min="6" max="6" width="16.57421875" style="0" customWidth="1"/>
    <col min="7" max="7" width="15.7109375" style="0" customWidth="1"/>
    <col min="8" max="8" width="14.7109375" style="0" customWidth="1"/>
    <col min="9" max="9" width="13.00390625" style="0" customWidth="1"/>
    <col min="10" max="10" width="15.57421875" style="0" customWidth="1"/>
    <col min="11" max="11" width="13.00390625" style="0" customWidth="1"/>
  </cols>
  <sheetData>
    <row r="1" spans="1:11" ht="12.75">
      <c r="A1" s="2"/>
      <c r="B1" s="3"/>
      <c r="C1" s="3"/>
      <c r="D1" s="3"/>
      <c r="E1" s="4" t="s">
        <v>66</v>
      </c>
      <c r="F1" s="3"/>
      <c r="G1" s="3"/>
      <c r="H1" s="3"/>
      <c r="I1" s="5" t="s">
        <v>84</v>
      </c>
      <c r="J1" s="3"/>
      <c r="K1" s="3"/>
    </row>
    <row r="2" spans="1:11" ht="12.75">
      <c r="A2" s="2"/>
      <c r="B2" s="3"/>
      <c r="C2" s="3"/>
      <c r="D2" s="3"/>
      <c r="E2" s="13" t="s">
        <v>102</v>
      </c>
      <c r="F2" s="3"/>
      <c r="G2" s="3"/>
      <c r="H2" s="3"/>
      <c r="I2" s="5" t="s">
        <v>47</v>
      </c>
      <c r="J2" s="3"/>
      <c r="K2" s="3"/>
    </row>
    <row r="3" spans="1:11" ht="12.75">
      <c r="A3" s="2" t="s">
        <v>74</v>
      </c>
      <c r="B3" s="3"/>
      <c r="C3" s="3"/>
      <c r="D3" s="3"/>
      <c r="E3" s="4" t="s">
        <v>1</v>
      </c>
      <c r="F3" s="3"/>
      <c r="G3" s="3"/>
      <c r="H3" s="3"/>
      <c r="I3" s="2" t="s">
        <v>74</v>
      </c>
      <c r="J3" s="3"/>
      <c r="K3" s="3"/>
    </row>
    <row r="4" spans="1:11" ht="72">
      <c r="A4" s="1" t="s">
        <v>20</v>
      </c>
      <c r="B4" s="1" t="s">
        <v>87</v>
      </c>
      <c r="C4" s="1" t="s">
        <v>58</v>
      </c>
      <c r="D4" s="1" t="s">
        <v>46</v>
      </c>
      <c r="E4" s="1" t="s">
        <v>31</v>
      </c>
      <c r="F4" s="1" t="s">
        <v>15</v>
      </c>
      <c r="G4" s="1" t="s">
        <v>33</v>
      </c>
      <c r="H4" s="1" t="s">
        <v>5</v>
      </c>
      <c r="I4" s="1" t="s">
        <v>72</v>
      </c>
      <c r="J4" s="1" t="s">
        <v>2</v>
      </c>
      <c r="K4" s="1" t="s">
        <v>14</v>
      </c>
    </row>
    <row r="5" spans="1:11" ht="34.5">
      <c r="A5" s="8" t="s">
        <v>61</v>
      </c>
      <c r="B5" s="9" t="s">
        <v>88</v>
      </c>
      <c r="C5" s="9" t="s">
        <v>93</v>
      </c>
      <c r="D5" s="10">
        <f>ROUND(978343456.12,2)</f>
        <v>978343456.12</v>
      </c>
      <c r="E5" s="10">
        <f>ROUND(90924978,2)</f>
        <v>90924978</v>
      </c>
      <c r="F5" s="10">
        <f>ROUND(879969355.32,2)</f>
        <v>879969355.32</v>
      </c>
      <c r="G5" s="10">
        <f>ROUND(189299078.8,2)</f>
        <v>189299078.8</v>
      </c>
      <c r="H5" s="10">
        <f>ROUND(424721717.74,2)</f>
        <v>424721717.74</v>
      </c>
      <c r="I5" s="10">
        <f>ROUND(31096469.22,2)</f>
        <v>31096469.22</v>
      </c>
      <c r="J5" s="10">
        <f>ROUND(375584910.48,2)</f>
        <v>375584910.48</v>
      </c>
      <c r="K5" s="10">
        <f>ROUND(80233276.48,2)</f>
        <v>80233276.48</v>
      </c>
    </row>
    <row r="6" spans="1:11" ht="23.25">
      <c r="A6" s="8" t="s">
        <v>13</v>
      </c>
      <c r="B6" s="9" t="s">
        <v>68</v>
      </c>
      <c r="C6" s="9" t="s">
        <v>7</v>
      </c>
      <c r="D6" s="10">
        <f>ROUND(503953127.29,2)</f>
        <v>503953127.29</v>
      </c>
      <c r="E6" s="10">
        <f>ROUND(90924978,2)</f>
        <v>90924978</v>
      </c>
      <c r="F6" s="10">
        <f>ROUND(439405304.49,2)</f>
        <v>439405304.49</v>
      </c>
      <c r="G6" s="10">
        <f>ROUND(155472800.8,2)</f>
        <v>155472800.8</v>
      </c>
      <c r="H6" s="10">
        <f>ROUND(247020625.52,2)</f>
        <v>247020625.52</v>
      </c>
      <c r="I6" s="10">
        <f>ROUND(31096469.22,2)</f>
        <v>31096469.22</v>
      </c>
      <c r="J6" s="10">
        <f>ROUND(206147969.84,2)</f>
        <v>206147969.84</v>
      </c>
      <c r="K6" s="10">
        <f>ROUND(71969124.9,2)</f>
        <v>71969124.9</v>
      </c>
    </row>
    <row r="7" spans="1:11" ht="34.5">
      <c r="A7" s="8" t="s">
        <v>71</v>
      </c>
      <c r="B7" s="9" t="s">
        <v>92</v>
      </c>
      <c r="C7" s="9" t="s">
        <v>42</v>
      </c>
      <c r="D7" s="10">
        <f>ROUND(297787605,2)</f>
        <v>297787605</v>
      </c>
      <c r="E7" s="10">
        <f aca="true" t="shared" si="0" ref="E7:E20">ROUND(0,2)</f>
        <v>0</v>
      </c>
      <c r="F7" s="10">
        <f>ROUND(213848461,2)</f>
        <v>213848461</v>
      </c>
      <c r="G7" s="10">
        <f>ROUND(83939144,2)</f>
        <v>83939144</v>
      </c>
      <c r="H7" s="10">
        <f>ROUND(137389079.54,2)</f>
        <v>137389079.54</v>
      </c>
      <c r="I7" s="10">
        <f aca="true" t="shared" si="1" ref="I7:I20">ROUND(0,2)</f>
        <v>0</v>
      </c>
      <c r="J7" s="10">
        <f>ROUND(99964186.03,2)</f>
        <v>99964186.03</v>
      </c>
      <c r="K7" s="10">
        <f>ROUND(37424893.51,2)</f>
        <v>37424893.51</v>
      </c>
    </row>
    <row r="8" spans="1:11" ht="23.25">
      <c r="A8" s="8" t="s">
        <v>6</v>
      </c>
      <c r="B8" s="9" t="s">
        <v>38</v>
      </c>
      <c r="C8" s="9" t="s">
        <v>22</v>
      </c>
      <c r="D8" s="10">
        <f>ROUND(226426171.37,2)</f>
        <v>226426171.37</v>
      </c>
      <c r="E8" s="10">
        <f t="shared" si="0"/>
        <v>0</v>
      </c>
      <c r="F8" s="10">
        <f>ROUND(162092001.37,2)</f>
        <v>162092001.37</v>
      </c>
      <c r="G8" s="10">
        <f>ROUND(64334170,2)</f>
        <v>64334170</v>
      </c>
      <c r="H8" s="10">
        <f>ROUND(109042390.15,2)</f>
        <v>109042390.15</v>
      </c>
      <c r="I8" s="10">
        <f t="shared" si="1"/>
        <v>0</v>
      </c>
      <c r="J8" s="10">
        <f>ROUND(79694207.56,2)</f>
        <v>79694207.56</v>
      </c>
      <c r="K8" s="10">
        <f>ROUND(29348182.59,2)</f>
        <v>29348182.59</v>
      </c>
    </row>
    <row r="9" spans="1:11" ht="23.25">
      <c r="A9" s="8" t="s">
        <v>50</v>
      </c>
      <c r="B9" s="9" t="s">
        <v>85</v>
      </c>
      <c r="C9" s="9" t="s">
        <v>28</v>
      </c>
      <c r="D9" s="10">
        <f>ROUND(2880040,2)</f>
        <v>2880040</v>
      </c>
      <c r="E9" s="10">
        <f t="shared" si="0"/>
        <v>0</v>
      </c>
      <c r="F9" s="10">
        <f>ROUND(2777040,2)</f>
        <v>2777040</v>
      </c>
      <c r="G9" s="10">
        <f>ROUND(103000,2)</f>
        <v>103000</v>
      </c>
      <c r="H9" s="10">
        <f>ROUND(777620,2)</f>
        <v>777620</v>
      </c>
      <c r="I9" s="10">
        <f t="shared" si="1"/>
        <v>0</v>
      </c>
      <c r="J9" s="10">
        <f>ROUND(735520,2)</f>
        <v>735520</v>
      </c>
      <c r="K9" s="10">
        <f>ROUND(42100,2)</f>
        <v>42100</v>
      </c>
    </row>
    <row r="10" spans="1:11" ht="23.25">
      <c r="A10" s="8" t="s">
        <v>24</v>
      </c>
      <c r="B10" s="9" t="s">
        <v>30</v>
      </c>
      <c r="C10" s="9" t="s">
        <v>82</v>
      </c>
      <c r="D10" s="10">
        <f>ROUND(68481393.63,2)</f>
        <v>68481393.63</v>
      </c>
      <c r="E10" s="10">
        <f t="shared" si="0"/>
        <v>0</v>
      </c>
      <c r="F10" s="10">
        <f>ROUND(48979419.63,2)</f>
        <v>48979419.63</v>
      </c>
      <c r="G10" s="10">
        <f>ROUND(19501974,2)</f>
        <v>19501974</v>
      </c>
      <c r="H10" s="10">
        <f>ROUND(27569069.39,2)</f>
        <v>27569069.39</v>
      </c>
      <c r="I10" s="10">
        <f t="shared" si="1"/>
        <v>0</v>
      </c>
      <c r="J10" s="10">
        <f>ROUND(19534458.47,2)</f>
        <v>19534458.47</v>
      </c>
      <c r="K10" s="10">
        <f>ROUND(8034610.92,2)</f>
        <v>8034610.92</v>
      </c>
    </row>
    <row r="11" spans="1:11" ht="23.25">
      <c r="A11" s="8" t="s">
        <v>67</v>
      </c>
      <c r="B11" s="9" t="s">
        <v>18</v>
      </c>
      <c r="C11" s="9" t="s">
        <v>35</v>
      </c>
      <c r="D11" s="10">
        <f>ROUND(106225208.25,2)</f>
        <v>106225208.25</v>
      </c>
      <c r="E11" s="10">
        <f t="shared" si="0"/>
        <v>0</v>
      </c>
      <c r="F11" s="10">
        <f>ROUND(51278562.45,2)</f>
        <v>51278562.45</v>
      </c>
      <c r="G11" s="10">
        <f>ROUND(54946645.8,2)</f>
        <v>54946645.8</v>
      </c>
      <c r="H11" s="10">
        <f>ROUND(48503976.64,2)</f>
        <v>48503976.64</v>
      </c>
      <c r="I11" s="10">
        <f t="shared" si="1"/>
        <v>0</v>
      </c>
      <c r="J11" s="10">
        <f>ROUND(29151084.22,2)</f>
        <v>29151084.22</v>
      </c>
      <c r="K11" s="10">
        <f>ROUND(19352892.42,2)</f>
        <v>19352892.42</v>
      </c>
    </row>
    <row r="12" spans="1:11" ht="23.25">
      <c r="A12" s="8" t="s">
        <v>26</v>
      </c>
      <c r="B12" s="9" t="s">
        <v>64</v>
      </c>
      <c r="C12" s="9" t="s">
        <v>60</v>
      </c>
      <c r="D12" s="10">
        <f>ROUND(3974718,2)</f>
        <v>3974718</v>
      </c>
      <c r="E12" s="10">
        <f t="shared" si="0"/>
        <v>0</v>
      </c>
      <c r="F12" s="10">
        <f>ROUND(2759900,2)</f>
        <v>2759900</v>
      </c>
      <c r="G12" s="10">
        <f>ROUND(1214818,2)</f>
        <v>1214818</v>
      </c>
      <c r="H12" s="10">
        <f>ROUND(2383190.87,2)</f>
        <v>2383190.87</v>
      </c>
      <c r="I12" s="10">
        <f t="shared" si="1"/>
        <v>0</v>
      </c>
      <c r="J12" s="10">
        <f>ROUND(1763199.84,2)</f>
        <v>1763199.84</v>
      </c>
      <c r="K12" s="10">
        <f>ROUND(619991.03,2)</f>
        <v>619991.03</v>
      </c>
    </row>
    <row r="13" spans="1:11" ht="23.25">
      <c r="A13" s="8" t="s">
        <v>65</v>
      </c>
      <c r="B13" s="9" t="s">
        <v>10</v>
      </c>
      <c r="C13" s="9" t="s">
        <v>43</v>
      </c>
      <c r="D13" s="10">
        <f>ROUND(791444,2)</f>
        <v>791444</v>
      </c>
      <c r="E13" s="10">
        <f t="shared" si="0"/>
        <v>0</v>
      </c>
      <c r="F13" s="10">
        <f>ROUND(221900,2)</f>
        <v>221900</v>
      </c>
      <c r="G13" s="10">
        <f>ROUND(569544,2)</f>
        <v>569544</v>
      </c>
      <c r="H13" s="10">
        <f>ROUND(363386.68,2)</f>
        <v>363386.68</v>
      </c>
      <c r="I13" s="10">
        <f t="shared" si="1"/>
        <v>0</v>
      </c>
      <c r="J13" s="10">
        <f>ROUND(130415.84,2)</f>
        <v>130415.84</v>
      </c>
      <c r="K13" s="10">
        <f>ROUND(232970.84,2)</f>
        <v>232970.84</v>
      </c>
    </row>
    <row r="14" spans="1:11" ht="23.25">
      <c r="A14" s="8" t="s">
        <v>0</v>
      </c>
      <c r="B14" s="9" t="s">
        <v>54</v>
      </c>
      <c r="C14" s="9" t="s">
        <v>81</v>
      </c>
      <c r="D14" s="10">
        <f>ROUND(29933405,2)</f>
        <v>29933405</v>
      </c>
      <c r="E14" s="10">
        <f t="shared" si="0"/>
        <v>0</v>
      </c>
      <c r="F14" s="10">
        <f>ROUND(16953358,2)</f>
        <v>16953358</v>
      </c>
      <c r="G14" s="10">
        <f>ROUND(12980047,2)</f>
        <v>12980047</v>
      </c>
      <c r="H14" s="10">
        <f>ROUND(18372951.33,2)</f>
        <v>18372951.33</v>
      </c>
      <c r="I14" s="10">
        <f t="shared" si="1"/>
        <v>0</v>
      </c>
      <c r="J14" s="10">
        <f>ROUND(11632366.21,2)</f>
        <v>11632366.21</v>
      </c>
      <c r="K14" s="10">
        <f>ROUND(6740585.12,2)</f>
        <v>6740585.12</v>
      </c>
    </row>
    <row r="15" spans="1:11" ht="34.5">
      <c r="A15" s="8" t="s">
        <v>57</v>
      </c>
      <c r="B15" s="9" t="s">
        <v>16</v>
      </c>
      <c r="C15" s="9" t="s">
        <v>52</v>
      </c>
      <c r="D15" s="10">
        <f>ROUND(44250,2)</f>
        <v>44250</v>
      </c>
      <c r="E15" s="10">
        <f t="shared" si="0"/>
        <v>0</v>
      </c>
      <c r="F15" s="10">
        <f>ROUND(0,2)</f>
        <v>0</v>
      </c>
      <c r="G15" s="10">
        <f>ROUND(44250,2)</f>
        <v>44250</v>
      </c>
      <c r="H15" s="10">
        <f>ROUND(250,2)</f>
        <v>250</v>
      </c>
      <c r="I15" s="10">
        <f t="shared" si="1"/>
        <v>0</v>
      </c>
      <c r="J15" s="10">
        <f>ROUND(0,2)</f>
        <v>0</v>
      </c>
      <c r="K15" s="10">
        <f>ROUND(250,2)</f>
        <v>250</v>
      </c>
    </row>
    <row r="16" spans="1:11" ht="34.5">
      <c r="A16" s="8" t="s">
        <v>17</v>
      </c>
      <c r="B16" s="9" t="s">
        <v>75</v>
      </c>
      <c r="C16" s="9" t="s">
        <v>86</v>
      </c>
      <c r="D16" s="10">
        <f>ROUND(40324892.46,2)</f>
        <v>40324892.46</v>
      </c>
      <c r="E16" s="10">
        <f t="shared" si="0"/>
        <v>0</v>
      </c>
      <c r="F16" s="10">
        <f>ROUND(11191610.97,2)</f>
        <v>11191610.97</v>
      </c>
      <c r="G16" s="10">
        <f>ROUND(29133281.49,2)</f>
        <v>29133281.49</v>
      </c>
      <c r="H16" s="10">
        <f>ROUND(7329098.05,2)</f>
        <v>7329098.05</v>
      </c>
      <c r="I16" s="10">
        <f t="shared" si="1"/>
        <v>0</v>
      </c>
      <c r="J16" s="10">
        <f>ROUND(1467714.72,2)</f>
        <v>1467714.72</v>
      </c>
      <c r="K16" s="10">
        <f>ROUND(5861383.33,2)</f>
        <v>5861383.33</v>
      </c>
    </row>
    <row r="17" spans="1:11" ht="23.25">
      <c r="A17" s="8" t="s">
        <v>73</v>
      </c>
      <c r="B17" s="9" t="s">
        <v>3</v>
      </c>
      <c r="C17" s="9" t="s">
        <v>79</v>
      </c>
      <c r="D17" s="10">
        <f>ROUND(31156498.79,2)</f>
        <v>31156498.79</v>
      </c>
      <c r="E17" s="10">
        <f t="shared" si="0"/>
        <v>0</v>
      </c>
      <c r="F17" s="10">
        <f>ROUND(20151793.48,2)</f>
        <v>20151793.48</v>
      </c>
      <c r="G17" s="10">
        <f>ROUND(11004705.31,2)</f>
        <v>11004705.31</v>
      </c>
      <c r="H17" s="10">
        <f>ROUND(20055099.71,2)</f>
        <v>20055099.71</v>
      </c>
      <c r="I17" s="10">
        <f t="shared" si="1"/>
        <v>0</v>
      </c>
      <c r="J17" s="10">
        <f>ROUND(14157387.61,2)</f>
        <v>14157387.61</v>
      </c>
      <c r="K17" s="10">
        <f>ROUND(5897712.1,2)</f>
        <v>5897712.1</v>
      </c>
    </row>
    <row r="18" spans="1:11" ht="45.75">
      <c r="A18" s="8" t="s">
        <v>62</v>
      </c>
      <c r="B18" s="9" t="s">
        <v>69</v>
      </c>
      <c r="C18" s="9" t="s">
        <v>44</v>
      </c>
      <c r="D18" s="10">
        <f>ROUND(72147787.29,2)</f>
        <v>72147787.29</v>
      </c>
      <c r="E18" s="10">
        <f t="shared" si="0"/>
        <v>0</v>
      </c>
      <c r="F18" s="10">
        <f>ROUND(59792812.29,2)</f>
        <v>59792812.29</v>
      </c>
      <c r="G18" s="10">
        <f>ROUND(12354975,2)</f>
        <v>12354975</v>
      </c>
      <c r="H18" s="10">
        <f>ROUND(45215461.24,2)</f>
        <v>45215461.24</v>
      </c>
      <c r="I18" s="10">
        <f t="shared" si="1"/>
        <v>0</v>
      </c>
      <c r="J18" s="10">
        <f>ROUND(32860486.24,2)</f>
        <v>32860486.24</v>
      </c>
      <c r="K18" s="10">
        <f>ROUND(12354975,2)</f>
        <v>12354975</v>
      </c>
    </row>
    <row r="19" spans="1:11" ht="79.5">
      <c r="A19" s="8" t="s">
        <v>19</v>
      </c>
      <c r="B19" s="9" t="s">
        <v>12</v>
      </c>
      <c r="C19" s="9" t="s">
        <v>53</v>
      </c>
      <c r="D19" s="10">
        <f>ROUND(58550812.29,2)</f>
        <v>58550812.29</v>
      </c>
      <c r="E19" s="10">
        <f t="shared" si="0"/>
        <v>0</v>
      </c>
      <c r="F19" s="10">
        <f>ROUND(58550812.29,2)</f>
        <v>58550812.29</v>
      </c>
      <c r="G19" s="10">
        <f>ROUND(0,2)</f>
        <v>0</v>
      </c>
      <c r="H19" s="10">
        <f>ROUND(31959486.24,2)</f>
        <v>31959486.24</v>
      </c>
      <c r="I19" s="10">
        <f t="shared" si="1"/>
        <v>0</v>
      </c>
      <c r="J19" s="10">
        <f>ROUND(31959486.24,2)</f>
        <v>31959486.24</v>
      </c>
      <c r="K19" s="10">
        <f>ROUND(0,2)</f>
        <v>0</v>
      </c>
    </row>
    <row r="20" spans="1:11" ht="90.75">
      <c r="A20" s="8" t="s">
        <v>63</v>
      </c>
      <c r="B20" s="9" t="s">
        <v>59</v>
      </c>
      <c r="C20" s="9" t="s">
        <v>45</v>
      </c>
      <c r="D20" s="10">
        <f>ROUND(13596975,2)</f>
        <v>13596975</v>
      </c>
      <c r="E20" s="10">
        <f t="shared" si="0"/>
        <v>0</v>
      </c>
      <c r="F20" s="10">
        <f>ROUND(1242000,2)</f>
        <v>1242000</v>
      </c>
      <c r="G20" s="10">
        <f>ROUND(12354975,2)</f>
        <v>12354975</v>
      </c>
      <c r="H20" s="10">
        <f>ROUND(13255975,2)</f>
        <v>13255975</v>
      </c>
      <c r="I20" s="10">
        <f t="shared" si="1"/>
        <v>0</v>
      </c>
      <c r="J20" s="10">
        <f>ROUND(901000,2)</f>
        <v>901000</v>
      </c>
      <c r="K20" s="10">
        <f>ROUND(12354975,2)</f>
        <v>12354975</v>
      </c>
    </row>
    <row r="21" spans="1:11" ht="45.75">
      <c r="A21" s="8" t="s">
        <v>77</v>
      </c>
      <c r="B21" s="9" t="s">
        <v>95</v>
      </c>
      <c r="C21" s="9" t="s">
        <v>55</v>
      </c>
      <c r="D21" s="10">
        <f>ROUND(0,2)</f>
        <v>0</v>
      </c>
      <c r="E21" s="10">
        <f>ROUND(90924978,2)</f>
        <v>90924978</v>
      </c>
      <c r="F21" s="10">
        <f>ROUND(90924978,2)</f>
        <v>90924978</v>
      </c>
      <c r="G21" s="10">
        <f>ROUND(0,2)</f>
        <v>0</v>
      </c>
      <c r="H21" s="10">
        <f>ROUND(0,2)</f>
        <v>0</v>
      </c>
      <c r="I21" s="10">
        <f>ROUND(31096469.22,2)</f>
        <v>31096469.22</v>
      </c>
      <c r="J21" s="10">
        <f>ROUND(31096469.22,2)</f>
        <v>31096469.22</v>
      </c>
      <c r="K21" s="10">
        <f>ROUND(0,2)</f>
        <v>0</v>
      </c>
    </row>
    <row r="22" spans="1:11" ht="79.5">
      <c r="A22" s="8" t="s">
        <v>34</v>
      </c>
      <c r="B22" s="9" t="s">
        <v>37</v>
      </c>
      <c r="C22" s="9" t="s">
        <v>97</v>
      </c>
      <c r="D22" s="10">
        <f>ROUND(0,2)</f>
        <v>0</v>
      </c>
      <c r="E22" s="10">
        <f>ROUND(90924978,2)</f>
        <v>90924978</v>
      </c>
      <c r="F22" s="10">
        <f>ROUND(90924978,2)</f>
        <v>90924978</v>
      </c>
      <c r="G22" s="10">
        <f>ROUND(0,2)</f>
        <v>0</v>
      </c>
      <c r="H22" s="10">
        <f>ROUND(0,2)</f>
        <v>0</v>
      </c>
      <c r="I22" s="10">
        <f>ROUND(31096469.22,2)</f>
        <v>31096469.22</v>
      </c>
      <c r="J22" s="10">
        <f>ROUND(31096469.22,2)</f>
        <v>31096469.22</v>
      </c>
      <c r="K22" s="10">
        <f>ROUND(0,2)</f>
        <v>0</v>
      </c>
    </row>
    <row r="23" spans="1:11" ht="23.25">
      <c r="A23" s="8" t="s">
        <v>83</v>
      </c>
      <c r="B23" s="9" t="s">
        <v>21</v>
      </c>
      <c r="C23" s="9" t="s">
        <v>27</v>
      </c>
      <c r="D23" s="10">
        <f>ROUND(24435515,2)</f>
        <v>24435515</v>
      </c>
      <c r="E23" s="10">
        <f aca="true" t="shared" si="2" ref="E23:E29">ROUND(0,2)</f>
        <v>0</v>
      </c>
      <c r="F23" s="10">
        <f>ROUND(22385424,2)</f>
        <v>22385424</v>
      </c>
      <c r="G23" s="10">
        <f>ROUND(2050091,2)</f>
        <v>2050091</v>
      </c>
      <c r="H23" s="10">
        <f>ROUND(14325014.64,2)</f>
        <v>14325014.64</v>
      </c>
      <c r="I23" s="10">
        <f aca="true" t="shared" si="3" ref="I23:I29">ROUND(0,2)</f>
        <v>0</v>
      </c>
      <c r="J23" s="10">
        <f>ROUND(12615734.07,2)</f>
        <v>12615734.07</v>
      </c>
      <c r="K23" s="10">
        <f>ROUND(1709280.57,2)</f>
        <v>1709280.57</v>
      </c>
    </row>
    <row r="24" spans="1:11" ht="45.75">
      <c r="A24" s="8" t="s">
        <v>94</v>
      </c>
      <c r="B24" s="9" t="s">
        <v>8</v>
      </c>
      <c r="C24" s="9" t="s">
        <v>9</v>
      </c>
      <c r="D24" s="10">
        <f>ROUND(20037424,2)</f>
        <v>20037424</v>
      </c>
      <c r="E24" s="10">
        <f t="shared" si="2"/>
        <v>0</v>
      </c>
      <c r="F24" s="10">
        <f>ROUND(19777424,2)</f>
        <v>19777424</v>
      </c>
      <c r="G24" s="10">
        <f>ROUND(260000,2)</f>
        <v>260000</v>
      </c>
      <c r="H24" s="10">
        <f>ROUND(10230341.39,2)</f>
        <v>10230341.39</v>
      </c>
      <c r="I24" s="10">
        <f t="shared" si="3"/>
        <v>0</v>
      </c>
      <c r="J24" s="10">
        <f>ROUND(10020341.39,2)</f>
        <v>10020341.39</v>
      </c>
      <c r="K24" s="10">
        <f>ROUND(210000,2)</f>
        <v>210000</v>
      </c>
    </row>
    <row r="25" spans="1:11" ht="79.5">
      <c r="A25" s="8" t="s">
        <v>36</v>
      </c>
      <c r="B25" s="9" t="s">
        <v>56</v>
      </c>
      <c r="C25" s="9" t="s">
        <v>4</v>
      </c>
      <c r="D25" s="10">
        <f>ROUND(4398091,2)</f>
        <v>4398091</v>
      </c>
      <c r="E25" s="10">
        <f t="shared" si="2"/>
        <v>0</v>
      </c>
      <c r="F25" s="10">
        <f>ROUND(2608000,2)</f>
        <v>2608000</v>
      </c>
      <c r="G25" s="10">
        <f>ROUND(1790091,2)</f>
        <v>1790091</v>
      </c>
      <c r="H25" s="10">
        <f>ROUND(4094673.25,2)</f>
        <v>4094673.25</v>
      </c>
      <c r="I25" s="10">
        <f t="shared" si="3"/>
        <v>0</v>
      </c>
      <c r="J25" s="10">
        <f>ROUND(2595392.68,2)</f>
        <v>2595392.68</v>
      </c>
      <c r="K25" s="10">
        <f>ROUND(1499280.57,2)</f>
        <v>1499280.57</v>
      </c>
    </row>
    <row r="26" spans="1:11" ht="23.25">
      <c r="A26" s="8" t="s">
        <v>91</v>
      </c>
      <c r="B26" s="9" t="s">
        <v>96</v>
      </c>
      <c r="C26" s="9" t="s">
        <v>90</v>
      </c>
      <c r="D26" s="10">
        <f>ROUND(3357011.75,2)</f>
        <v>3357011.75</v>
      </c>
      <c r="E26" s="10">
        <f t="shared" si="2"/>
        <v>0</v>
      </c>
      <c r="F26" s="10">
        <f>ROUND(1175066.75,2)</f>
        <v>1175066.75</v>
      </c>
      <c r="G26" s="10">
        <f>ROUND(2181945,2)</f>
        <v>2181945</v>
      </c>
      <c r="H26" s="10">
        <f>ROUND(1587093.46,2)</f>
        <v>1587093.46</v>
      </c>
      <c r="I26" s="10">
        <f t="shared" si="3"/>
        <v>0</v>
      </c>
      <c r="J26" s="10">
        <f>ROUND(460010.06,2)</f>
        <v>460010.06</v>
      </c>
      <c r="K26" s="10">
        <f>ROUND(1127083.4,2)</f>
        <v>1127083.4</v>
      </c>
    </row>
    <row r="27" spans="1:11" ht="34.5">
      <c r="A27" s="8" t="s">
        <v>39</v>
      </c>
      <c r="B27" s="9" t="s">
        <v>51</v>
      </c>
      <c r="C27" s="9" t="s">
        <v>76</v>
      </c>
      <c r="D27" s="10">
        <f>ROUND(474390328.83,2)</f>
        <v>474390328.83</v>
      </c>
      <c r="E27" s="10">
        <f t="shared" si="2"/>
        <v>0</v>
      </c>
      <c r="F27" s="10">
        <f>ROUND(440564050.83,2)</f>
        <v>440564050.83</v>
      </c>
      <c r="G27" s="10">
        <f>ROUND(33826278,2)</f>
        <v>33826278</v>
      </c>
      <c r="H27" s="10">
        <f>ROUND(177701092.22,2)</f>
        <v>177701092.22</v>
      </c>
      <c r="I27" s="10">
        <f t="shared" si="3"/>
        <v>0</v>
      </c>
      <c r="J27" s="10">
        <f>ROUND(169436940.64,2)</f>
        <v>169436940.64</v>
      </c>
      <c r="K27" s="10">
        <f>ROUND(8264151.58,2)</f>
        <v>8264151.58</v>
      </c>
    </row>
    <row r="28" spans="1:11" ht="45.75">
      <c r="A28" s="8" t="s">
        <v>49</v>
      </c>
      <c r="B28" s="9" t="s">
        <v>78</v>
      </c>
      <c r="C28" s="9" t="s">
        <v>89</v>
      </c>
      <c r="D28" s="10">
        <f>ROUND(436075901.33,2)</f>
        <v>436075901.33</v>
      </c>
      <c r="E28" s="10">
        <f t="shared" si="2"/>
        <v>0</v>
      </c>
      <c r="F28" s="10">
        <f>ROUND(414528525.23,2)</f>
        <v>414528525.23</v>
      </c>
      <c r="G28" s="10">
        <f>ROUND(21547376.1,2)</f>
        <v>21547376.1</v>
      </c>
      <c r="H28" s="10">
        <f>ROUND(159544912.62,2)</f>
        <v>159544912.62</v>
      </c>
      <c r="I28" s="10">
        <f t="shared" si="3"/>
        <v>0</v>
      </c>
      <c r="J28" s="10">
        <f>ROUND(157175526.81,2)</f>
        <v>157175526.81</v>
      </c>
      <c r="K28" s="10">
        <f>ROUND(2369385.81,2)</f>
        <v>2369385.81</v>
      </c>
    </row>
    <row r="29" spans="1:11" ht="45.75">
      <c r="A29" s="8" t="s">
        <v>23</v>
      </c>
      <c r="B29" s="9" t="s">
        <v>48</v>
      </c>
      <c r="C29" s="9" t="s">
        <v>70</v>
      </c>
      <c r="D29" s="10">
        <f>ROUND(38314427.5,2)</f>
        <v>38314427.5</v>
      </c>
      <c r="E29" s="10">
        <f t="shared" si="2"/>
        <v>0</v>
      </c>
      <c r="F29" s="10">
        <f>ROUND(26035525.6,2)</f>
        <v>26035525.6</v>
      </c>
      <c r="G29" s="10">
        <f>ROUND(12278901.9,2)</f>
        <v>12278901.9</v>
      </c>
      <c r="H29" s="10">
        <f>ROUND(18156179.6,2)</f>
        <v>18156179.6</v>
      </c>
      <c r="I29" s="10">
        <f t="shared" si="3"/>
        <v>0</v>
      </c>
      <c r="J29" s="10">
        <f>ROUND(12261413.83,2)</f>
        <v>12261413.83</v>
      </c>
      <c r="K29" s="10">
        <f>ROUND(5894765.77,2)</f>
        <v>5894765.77</v>
      </c>
    </row>
    <row r="30" spans="1:11" ht="23.25">
      <c r="A30" s="8" t="s">
        <v>80</v>
      </c>
      <c r="B30" s="9" t="s">
        <v>32</v>
      </c>
      <c r="C30" s="9" t="s">
        <v>11</v>
      </c>
      <c r="D30" s="10">
        <f>ROUND(978343456.12,2)</f>
        <v>978343456.12</v>
      </c>
      <c r="E30" s="10">
        <f>ROUND(90924978,2)</f>
        <v>90924978</v>
      </c>
      <c r="F30" s="10">
        <f>ROUND(879969355.32,2)</f>
        <v>879969355.32</v>
      </c>
      <c r="G30" s="10">
        <f>ROUND(189299078.8,2)</f>
        <v>189299078.8</v>
      </c>
      <c r="H30" s="10">
        <f>ROUND(424721717.74,2)</f>
        <v>424721717.74</v>
      </c>
      <c r="I30" s="10">
        <f>ROUND(31096469.22,2)</f>
        <v>31096469.22</v>
      </c>
      <c r="J30" s="10">
        <f>ROUND(375584910.48,2)</f>
        <v>375584910.48</v>
      </c>
      <c r="K30" s="10">
        <f>ROUND(80233276.48,2)</f>
        <v>80233276.48</v>
      </c>
    </row>
    <row r="31" spans="1:11" ht="57">
      <c r="A31" s="8" t="s">
        <v>41</v>
      </c>
      <c r="B31" s="9" t="s">
        <v>29</v>
      </c>
      <c r="C31" s="9" t="s">
        <v>25</v>
      </c>
      <c r="D31" s="10">
        <f>ROUND(-18869043.12,2)</f>
        <v>-18869043.12</v>
      </c>
      <c r="E31" s="10">
        <f>ROUND(0,2)</f>
        <v>0</v>
      </c>
      <c r="F31" s="10">
        <f>ROUND(-11165281.32,2)</f>
        <v>-11165281.32</v>
      </c>
      <c r="G31" s="10">
        <f>ROUND(-7703761.8,2)</f>
        <v>-7703761.8</v>
      </c>
      <c r="H31" s="10">
        <f>ROUND(22570260.56,2)</f>
        <v>22570260.56</v>
      </c>
      <c r="I31" s="10">
        <f>ROUND(0,2)</f>
        <v>0</v>
      </c>
      <c r="J31" s="10">
        <f>ROUND(22640555.53,2)</f>
        <v>22640555.53</v>
      </c>
      <c r="K31" s="10">
        <f>ROUND(-70294.97,2)</f>
        <v>-70294.97</v>
      </c>
    </row>
    <row r="32" spans="1:11" ht="12.75">
      <c r="A32" s="2" t="s">
        <v>74</v>
      </c>
      <c r="B32" s="3"/>
      <c r="C32" s="3"/>
      <c r="D32" s="3"/>
      <c r="E32" s="2" t="s">
        <v>74</v>
      </c>
      <c r="F32" s="3"/>
      <c r="G32" s="3"/>
      <c r="H32" s="3"/>
      <c r="I32" s="2" t="s">
        <v>74</v>
      </c>
      <c r="J32" s="3"/>
      <c r="K32" s="3"/>
    </row>
    <row r="33" spans="1:11" ht="12.75">
      <c r="A33" s="11" t="s">
        <v>98</v>
      </c>
      <c r="B33" s="3"/>
      <c r="C33" s="3"/>
      <c r="D33" s="3"/>
      <c r="E33" s="7" t="s">
        <v>40</v>
      </c>
      <c r="F33" s="3"/>
      <c r="G33" s="3"/>
      <c r="H33" s="3"/>
      <c r="I33" s="12" t="s">
        <v>100</v>
      </c>
      <c r="J33" s="3"/>
      <c r="K33" s="3"/>
    </row>
    <row r="34" spans="1:11" ht="12.75">
      <c r="A34" s="6" t="s">
        <v>74</v>
      </c>
      <c r="B34" s="3"/>
      <c r="C34" s="3"/>
      <c r="D34" s="3"/>
      <c r="E34" s="6" t="s">
        <v>74</v>
      </c>
      <c r="F34" s="3"/>
      <c r="G34" s="3"/>
      <c r="H34" s="3"/>
      <c r="I34" s="2" t="s">
        <v>74</v>
      </c>
      <c r="J34" s="3"/>
      <c r="K34" s="3"/>
    </row>
    <row r="35" spans="1:11" ht="12.75">
      <c r="A35" s="11" t="s">
        <v>99</v>
      </c>
      <c r="B35" s="3"/>
      <c r="C35" s="3"/>
      <c r="D35" s="3"/>
      <c r="E35" s="7" t="s">
        <v>40</v>
      </c>
      <c r="F35" s="3"/>
      <c r="G35" s="3"/>
      <c r="H35" s="3"/>
      <c r="I35" s="12" t="s">
        <v>101</v>
      </c>
      <c r="J35" s="3"/>
      <c r="K35" s="3"/>
    </row>
  </sheetData>
  <mergeCells count="21">
    <mergeCell ref="I33:K33"/>
    <mergeCell ref="I34:K34"/>
    <mergeCell ref="I35:K35"/>
    <mergeCell ref="A33:D33"/>
    <mergeCell ref="A34:D34"/>
    <mergeCell ref="A35:D35"/>
    <mergeCell ref="E32:H32"/>
    <mergeCell ref="E33:H33"/>
    <mergeCell ref="E34:H34"/>
    <mergeCell ref="E35:H35"/>
    <mergeCell ref="I1:K1"/>
    <mergeCell ref="I2:K2"/>
    <mergeCell ref="I3:K3"/>
    <mergeCell ref="A32:D32"/>
    <mergeCell ref="I32:K32"/>
    <mergeCell ref="A1:D1"/>
    <mergeCell ref="A2:D2"/>
    <mergeCell ref="A3:D3"/>
    <mergeCell ref="E1:H1"/>
    <mergeCell ref="E2:H2"/>
    <mergeCell ref="E3:H3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scale="80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cp:lastPrinted>2012-07-12T06:13:51Z</cp:lastPrinted>
  <dcterms:created xsi:type="dcterms:W3CDTF">2012-07-12T06:14:12Z</dcterms:created>
  <dcterms:modified xsi:type="dcterms:W3CDTF">2012-07-12T06:14:13Z</dcterms:modified>
  <cp:category/>
  <cp:version/>
  <cp:contentType/>
  <cp:contentStatus/>
</cp:coreProperties>
</file>