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<sst xmlns="http://schemas.openxmlformats.org/spreadsheetml/2006/main" count="321" uniqueCount="301">
  <si>
    <t>Выплата единовременного пособия при всех формах устройства детей, лишенных родительского попечения, в семью</t>
  </si>
  <si>
    <t>101,452</t>
  </si>
  <si>
    <t>ВСЕГО по Новохоперскому району</t>
  </si>
  <si>
    <t>00222 000 0000 0000000 000 212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</si>
  <si>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</si>
  <si>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103,3</t>
  </si>
  <si>
    <t>101,160</t>
  </si>
  <si>
    <t>101,397</t>
  </si>
  <si>
    <t>в том числе: в сфере образования</t>
  </si>
  <si>
    <t>101,319</t>
  </si>
  <si>
    <t>из них: Мероприятия по проведению оздоровительной кампании детей</t>
  </si>
  <si>
    <t>14121 000 0701 0000000 000 000</t>
  </si>
  <si>
    <t>14000 000 0000 0000000 000 000</t>
  </si>
  <si>
    <t>10720 000 0000 0000000 000 000</t>
  </si>
  <si>
    <t>101,492</t>
  </si>
  <si>
    <t>13200 000 0800 0000000 000 000</t>
  </si>
  <si>
    <t>13112 000 0702 0000000 000 000</t>
  </si>
  <si>
    <t>101,30</t>
  </si>
  <si>
    <t>101,91</t>
  </si>
  <si>
    <t>в том числе: Организация питания учащихся в общеобразовательных учреждениях</t>
  </si>
  <si>
    <t>12320 000 0000 0000000 000 290</t>
  </si>
  <si>
    <t>03816 000 0702 4362100 000 000</t>
  </si>
  <si>
    <t>00210 000 0000 0000000 000 211</t>
  </si>
  <si>
    <t>101,230</t>
  </si>
  <si>
    <t>12202 000 0000 0000000 000 226</t>
  </si>
  <si>
    <t>101,456</t>
  </si>
  <si>
    <t>101,378</t>
  </si>
  <si>
    <t>103,9</t>
  </si>
  <si>
    <t>14110 000 0700 0000000 000 000</t>
  </si>
  <si>
    <t>Осуществление первичного воинского учета на территориях, где отсутствуют военные комиссариаты</t>
  </si>
  <si>
    <t>09302 000 1003 0000000 000 262</t>
  </si>
  <si>
    <t>103,7</t>
  </si>
  <si>
    <t>Начисления на выплаты по оплате труда</t>
  </si>
  <si>
    <t>101,458</t>
  </si>
  <si>
    <t>ОСТАТКИ СРЕДСТВ БЮДЖЕТОВ НА ОТЧЕТНУЮ ДАТУ:</t>
  </si>
  <si>
    <t>101,147</t>
  </si>
  <si>
    <t>развитие школьной инфраструктуры</t>
  </si>
  <si>
    <t>в других сферах</t>
  </si>
  <si>
    <t>103,1</t>
  </si>
  <si>
    <t>101,162</t>
  </si>
  <si>
    <t>02910 000 0000 0000000 000 000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</si>
  <si>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</si>
  <si>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</si>
  <si>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Служащие</t>
  </si>
  <si>
    <t>101,450</t>
  </si>
  <si>
    <t>101,122</t>
  </si>
  <si>
    <t>1  1 Утверждено консолидированный бюджет субъекта РФ</t>
  </si>
  <si>
    <t>Оздоровление детей</t>
  </si>
  <si>
    <t>Расходы по содержанию органов местного самоуправления, всего</t>
  </si>
  <si>
    <t>00231 000 0000 0000000 000 213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</si>
  <si>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</si>
  <si>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начисления на выплаты по оплате труда</t>
  </si>
  <si>
    <t>101,183</t>
  </si>
  <si>
    <t>9  9 Утверждено бюджеты муниципальных районов</t>
  </si>
  <si>
    <t>Подпрограмма "Обеспечение жильем молодых семей"</t>
  </si>
  <si>
    <t>Поддержка коммунального хозяйства, всего</t>
  </si>
  <si>
    <t>03811 000 0702 4362100 000 000</t>
  </si>
  <si>
    <t>103,5</t>
  </si>
  <si>
    <t>Прочие работы, услуги, всего:</t>
  </si>
  <si>
    <t>13115 000 0709 0000000 000 000</t>
  </si>
  <si>
    <t>101,374</t>
  </si>
  <si>
    <t>№ листа / № строки</t>
  </si>
  <si>
    <t>из них в образовательных учреждениях: дошкольных</t>
  </si>
  <si>
    <t>Мероприятия в области образования</t>
  </si>
  <si>
    <t>10800 000 0000 0000000 000 000</t>
  </si>
  <si>
    <t>Муниципальные служащие</t>
  </si>
  <si>
    <t>начисления на выплаты по оплате труда воспитателей</t>
  </si>
  <si>
    <t>08203 000 1004 0000000 000 000</t>
  </si>
  <si>
    <t>101,143</t>
  </si>
  <si>
    <t>услуги по страхованию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</si>
  <si>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</si>
  <si>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04200 000 0000 0000000 000 000</t>
  </si>
  <si>
    <t>12205 000 0000 0000000 000 226</t>
  </si>
  <si>
    <t>Социальное обеспечение</t>
  </si>
  <si>
    <t>14600 000 0000 0000000 000 000</t>
  </si>
  <si>
    <t>Выплата региональной доплаты к пенсии</t>
  </si>
  <si>
    <t>101,402</t>
  </si>
  <si>
    <t>02911 000 0501 0000000 000 000</t>
  </si>
  <si>
    <t>101,387</t>
  </si>
  <si>
    <t>07900 000 1004 5050502 000 000</t>
  </si>
  <si>
    <t>000 0000 0000000 000 211 01</t>
  </si>
  <si>
    <t>03801 000 0702 0000000 000 000</t>
  </si>
  <si>
    <t>101,115</t>
  </si>
  <si>
    <t>заработная плата воспитателей</t>
  </si>
  <si>
    <t>101,245</t>
  </si>
  <si>
    <t>101,151</t>
  </si>
  <si>
    <t>на начисления на выплаты по оплате труда  - по 01 разделу</t>
  </si>
  <si>
    <t>08201 000 1004 0000000 000 000</t>
  </si>
  <si>
    <t>02514 000 0409 0000000 000 000</t>
  </si>
  <si>
    <t>дополнительного образования</t>
  </si>
  <si>
    <t>101,24</t>
  </si>
  <si>
    <t>10101 000 0000 0000000 000 000</t>
  </si>
  <si>
    <t>101,446</t>
  </si>
  <si>
    <t>14100 000 0700 0000000 000 000</t>
  </si>
  <si>
    <t>101,408</t>
  </si>
  <si>
    <t>101,406</t>
  </si>
  <si>
    <t>101,260</t>
  </si>
  <si>
    <t>на заработную плату  - по 01 разделу в том числе:</t>
  </si>
  <si>
    <t>03813 000 0702 4362100 000 000</t>
  </si>
  <si>
    <t>101,383</t>
  </si>
  <si>
    <t>101,117</t>
  </si>
  <si>
    <t>уплату штрафов, пеней за несвоевременную уплату налогов и сборов, другие экономические санкции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</si>
  <si>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</si>
  <si>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из них в образовательных учреждениях дошкольных</t>
  </si>
  <si>
    <t>10722 000 0000 0000000 000 000</t>
  </si>
  <si>
    <t>03900 000 0702 5200900 000 000</t>
  </si>
  <si>
    <t>101,305</t>
  </si>
  <si>
    <t>101,159</t>
  </si>
  <si>
    <t>101,22</t>
  </si>
  <si>
    <t>13120 000 0700 0000000 000 000</t>
  </si>
  <si>
    <t>____________________</t>
  </si>
  <si>
    <t>02900 000 0000 0000000 000 000</t>
  </si>
  <si>
    <t>Расходы по содержанию органов местного самоуправления, всего - по 01 разделу</t>
  </si>
  <si>
    <t>повышение квалификации, профессиональной переподготовки руководителей общеобразовательных учреждений и учителей</t>
  </si>
  <si>
    <t>101,385</t>
  </si>
  <si>
    <t>101,228</t>
  </si>
  <si>
    <t>00220 000 0000 0000000 000 212</t>
  </si>
  <si>
    <t>101,320</t>
  </si>
  <si>
    <t>21  21 Исполнено бюджеты муниципальных районов</t>
  </si>
  <si>
    <t>Содержание ребенка в семье опекуна и приемной семье, а также вознаграждение, причитающееся приемному родителю</t>
  </si>
  <si>
    <t>14122 000 0702 0000000 000 000</t>
  </si>
  <si>
    <t>13111 000 0701 0000000 000 000</t>
  </si>
  <si>
    <t>101,381</t>
  </si>
  <si>
    <t>09300 000 0000 0000000 000 000</t>
  </si>
  <si>
    <t>12200 000 0000 0000000 000 226</t>
  </si>
  <si>
    <t>в том числе на: 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</si>
  <si>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03814 000 0702 4362100 000 000</t>
  </si>
  <si>
    <t>00212 000 0000 0000000 000 211</t>
  </si>
  <si>
    <t>других работников</t>
  </si>
  <si>
    <t>101,26</t>
  </si>
  <si>
    <t>12101 000 0000 0000000 000 225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</si>
  <si>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</si>
  <si>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101,153</t>
  </si>
  <si>
    <t>101,28</t>
  </si>
  <si>
    <t>00800 000 0203 0013600 000 000</t>
  </si>
  <si>
    <t>Расходы на содержание имущества, всего:</t>
  </si>
  <si>
    <t>муниципальных служащих</t>
  </si>
  <si>
    <t>03800 000 0700 4360000 000 000</t>
  </si>
  <si>
    <t>00211 000 0000 0000000 000 211</t>
  </si>
  <si>
    <t>Ед. измерения: документа -  руб.</t>
  </si>
  <si>
    <t>02921 000 0501 0000000 000 000</t>
  </si>
  <si>
    <t>14  14 Исполнено консолидированный бюджет субъекта РФ (средства федерального бюджета)</t>
  </si>
  <si>
    <t>в том числе: выплаты приемной семье на содержание подопечных детей</t>
  </si>
  <si>
    <t>из них: бюджетные инвестиции (без ФАИП)</t>
  </si>
  <si>
    <t>пополнение фондов школьных библиотек</t>
  </si>
  <si>
    <t>Мероприятия в сфере культуры и кинематографии</t>
  </si>
  <si>
    <t>101,377</t>
  </si>
  <si>
    <t>в том числе заработная плата педагогических работников</t>
  </si>
  <si>
    <t>из них: остатки целевых средств бюджетов</t>
  </si>
  <si>
    <t>02510 000 0409 0000000 000 000</t>
  </si>
  <si>
    <t>Благоустройство, всего</t>
  </si>
  <si>
    <t>103,6</t>
  </si>
  <si>
    <t>02800 000 0501 0000000 000 000</t>
  </si>
  <si>
    <t>103,8</t>
  </si>
  <si>
    <t>04400 000 0800 4400000 000 000</t>
  </si>
  <si>
    <t>12203 000 0000 0000000 000 226</t>
  </si>
  <si>
    <t>10700 000 0000 0000000 000 000</t>
  </si>
  <si>
    <t>101,231</t>
  </si>
  <si>
    <t>услуги вневедомственной (в том числе пожарной) охраны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</si>
  <si>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 субъектов Российской Федерации и местных бюджетов</t>
  </si>
  <si>
    <t>14115 000 0709 0000000 000 000</t>
  </si>
  <si>
    <t>101,457</t>
  </si>
  <si>
    <t>101,379</t>
  </si>
  <si>
    <t>выплаты семьям опекунов на содержание подопечных детей</t>
  </si>
  <si>
    <t>МУНИЦИПАЛЬНЫЙ ДОЛГ, всего</t>
  </si>
  <si>
    <t>103,2</t>
  </si>
  <si>
    <t>101,413</t>
  </si>
  <si>
    <t>12300 000 0000 0000000 000 290</t>
  </si>
  <si>
    <t>11  11 Утверждено бюджеты городских и сельских поселений</t>
  </si>
  <si>
    <t>Наименование показателя</t>
  </si>
  <si>
    <t>000 0000 0000000 000 000 01</t>
  </si>
  <si>
    <t>101,398</t>
  </si>
  <si>
    <t>04401 000 0801 4400200 000 000</t>
  </si>
  <si>
    <t>03100 000 0503 0000000 000 000</t>
  </si>
  <si>
    <t>04600 000 0900 5201800 000 000</t>
  </si>
  <si>
    <t>04201 000 0707 4320200 000 000</t>
  </si>
  <si>
    <t>101,250</t>
  </si>
  <si>
    <t>101,144</t>
  </si>
  <si>
    <t>22  22 Исполнено бюджеты муниципальных районов (средства федерального бюджета)</t>
  </si>
  <si>
    <t>Модернизация региональных систем общего образования, всего, в том числе расходы на:</t>
  </si>
  <si>
    <t>общеобразовательных (начального общего, основного общего, среднего (полного) общего образования</t>
  </si>
  <si>
    <t>10801 000 0000 0000000 000 000</t>
  </si>
  <si>
    <t>101,455</t>
  </si>
  <si>
    <t>101,127</t>
  </si>
  <si>
    <t>101,375</t>
  </si>
  <si>
    <t>13110 000 0700 0000000 000 000</t>
  </si>
  <si>
    <t>03810 000 0702 4362100 000 000</t>
  </si>
  <si>
    <t>101,182</t>
  </si>
  <si>
    <t>103,4</t>
  </si>
  <si>
    <t>101,167</t>
  </si>
  <si>
    <t>12204 000 0000 0000000 000 226</t>
  </si>
  <si>
    <t>101,92</t>
  </si>
  <si>
    <t>08202 000 1004 0000000 000 000</t>
  </si>
  <si>
    <t>МЕСЯЧНЫЙ ОТЧЕТ ОБ ИСПОЛНЕНИИ БЮДЖЕТА</t>
  </si>
  <si>
    <t>2  2 Утверждено консолидированный бюджет субъекта РФ (средства федерального бюджета)</t>
  </si>
  <si>
    <t>объем основного долга по бюджетным кредитам, привлеченным в местный бюджет, всего</t>
  </si>
  <si>
    <t>13121 000 0701 0000000 000 000</t>
  </si>
  <si>
    <t>13000 000 0000 0000000 000 000</t>
  </si>
  <si>
    <t>101,96</t>
  </si>
  <si>
    <t>14200 000 0800 0000000 000 000</t>
  </si>
  <si>
    <t>14112 000 0702 0000000 000 000</t>
  </si>
  <si>
    <t>Прочие расходы, всего:</t>
  </si>
  <si>
    <t>06200 000 1003 0000000 000 000</t>
  </si>
  <si>
    <t>101,148</t>
  </si>
  <si>
    <t>Мероприятия по обеспечению жильем иных категорий граждан на основании решений Правительства Российской Федерации</t>
  </si>
  <si>
    <t>из них расходы на:       заработную плату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</si>
  <si>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</si>
  <si>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06100 000 0000 0000000 000 260</t>
  </si>
  <si>
    <t>00230 000 0000 0000000 000 213</t>
  </si>
  <si>
    <t>101,451</t>
  </si>
  <si>
    <t>101,123</t>
  </si>
  <si>
    <t xml:space="preserve"> </t>
  </si>
  <si>
    <t>101,56</t>
  </si>
  <si>
    <t>101,163</t>
  </si>
  <si>
    <t>бюджетные кредиты, полученные из бюджета субъекта Российской Федерации</t>
  </si>
  <si>
    <t>приобретение оборудования</t>
  </si>
  <si>
    <t>12  12 Утверждено бюджеты городских и сельских поселений (средства федерального бюджета)</t>
  </si>
  <si>
    <t>10100 000 0000 0000000 000 000</t>
  </si>
  <si>
    <t>101,302</t>
  </si>
  <si>
    <t>101,25</t>
  </si>
  <si>
    <t>Субсидии на обеспечение жильем</t>
  </si>
  <si>
    <t>000 0000 0000000 000 213 01</t>
  </si>
  <si>
    <t>101,462</t>
  </si>
  <si>
    <t>08200 000 1004 0000000 000 000</t>
  </si>
  <si>
    <t>03000 000 0502 0000000 000 000</t>
  </si>
  <si>
    <t>в том числе на: содержание в чистоте помещений, зданий, дворов, иного имущества</t>
  </si>
  <si>
    <t>Ежемесячное денежное вознаграждение за классное руководство</t>
  </si>
  <si>
    <t>12206 000 0000 0000000 000 226</t>
  </si>
  <si>
    <t>101,150</t>
  </si>
  <si>
    <t>101,382</t>
  </si>
  <si>
    <t>Поддержка жилищного хозяйства, всего</t>
  </si>
  <si>
    <t>12208 000 0000 0000000 000 226</t>
  </si>
  <si>
    <t>101,407</t>
  </si>
  <si>
    <t>02500 000 0409 0000000 000 000</t>
  </si>
  <si>
    <t>101,261</t>
  </si>
  <si>
    <t>13122 000 0702 0000000 000 000</t>
  </si>
  <si>
    <t>101,409</t>
  </si>
  <si>
    <t>101,447</t>
  </si>
  <si>
    <t>13  13 Исполнено консолидированный бюджет субъекта РФ</t>
  </si>
  <si>
    <t>14111 000 0701 0000000 000 000</t>
  </si>
  <si>
    <t>101,386</t>
  </si>
  <si>
    <t>Поддержка дорожного хозяйства</t>
  </si>
  <si>
    <t>бюджетные кредиты, полученные из местного бюджета</t>
  </si>
  <si>
    <t>101,403</t>
  </si>
  <si>
    <t>12310 000 0000 0000000 000 290</t>
  </si>
  <si>
    <t>в том числе: обеспечение мероприятий по капитальному ремонту многоквартирных домов</t>
  </si>
  <si>
    <t>Ремонт и содержание</t>
  </si>
  <si>
    <t>вознаграждение приемного родителя</t>
  </si>
  <si>
    <t>00232 000 0000 0000000 000 213</t>
  </si>
  <si>
    <t>101,388</t>
  </si>
  <si>
    <t>101,225</t>
  </si>
  <si>
    <t>23  23 Исполнено бюджеты городских и сельских поселений</t>
  </si>
  <si>
    <t>в том числе начисления на выплаты по оплате труда педагогических работников</t>
  </si>
  <si>
    <t>в том числе на: уплату налогов (включаемых в состав расходов) государственной пошлины и сборов, разного рода платежей, в бюджеты всех уровней</t>
  </si>
  <si>
    <t>101,443</t>
  </si>
  <si>
    <t>14120 000 0700 0000000 000 000</t>
  </si>
  <si>
    <t>101,21</t>
  </si>
  <si>
    <t>Ед. измерения: отчета -  руб.</t>
  </si>
  <si>
    <t>в том числе:                                                                                                       в сфере образования</t>
  </si>
  <si>
    <t>12201 000 0000 0000000 000 226</t>
  </si>
  <si>
    <t>08100 000 1004 0000000 000 000</t>
  </si>
  <si>
    <t>24  24 Исполнено бюджеты городских и сельских поселений (средства федерального бюджета)</t>
  </si>
  <si>
    <t>101,380</t>
  </si>
  <si>
    <t>10  10 Утверждено бюджеты муниципальных районов (средства федерального бюджета)</t>
  </si>
  <si>
    <t>Код показателя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</si>
  <si>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</si>
  <si>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Региональные и муниципальные  программы (без ФАИП)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</si>
  <si>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</si>
  <si>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прочие выплаты</t>
  </si>
  <si>
    <t>13100 000 0700 0000000 000 000</t>
  </si>
  <si>
    <t>02920 000 0000 0000000 000 000</t>
  </si>
  <si>
    <t>12100 000 0000 0000000 000 225</t>
  </si>
  <si>
    <t>101,152</t>
  </si>
  <si>
    <t>101,29</t>
  </si>
  <si>
    <t>Муниципальные должности</t>
  </si>
  <si>
    <t>101,300</t>
  </si>
  <si>
    <t>101,27</t>
  </si>
  <si>
    <t>101,248</t>
  </si>
  <si>
    <t>03815 000 0702 4362100 000 000</t>
  </si>
  <si>
    <t>00200 000 0000 0000000 000 000</t>
  </si>
  <si>
    <t>101,112</t>
  </si>
  <si>
    <t>101,156</t>
  </si>
  <si>
    <t>10723 000 0000 0000000 000 000</t>
  </si>
  <si>
    <t>дистанционное обучение для обучающихся</t>
  </si>
  <si>
    <t>101,304</t>
  </si>
  <si>
    <t>101,23</t>
  </si>
  <si>
    <t>101,116</t>
  </si>
  <si>
    <t>услуги в области информационных технологий</t>
  </si>
  <si>
    <t>00221 000 0000 0000000 000 212</t>
  </si>
  <si>
    <t>101,227</t>
  </si>
  <si>
    <t>101,133</t>
  </si>
  <si>
    <t>в сфере культуры и кинематографии</t>
  </si>
  <si>
    <t>101,229</t>
  </si>
  <si>
    <t>13600 000 0000 0000000 000 000</t>
  </si>
  <si>
    <t>09000 000 1003 1008820 000 000</t>
  </si>
  <si>
    <t>101,401</t>
  </si>
  <si>
    <t>Начальник отдела финансов</t>
  </si>
  <si>
    <t>Главный бухгалтер</t>
  </si>
  <si>
    <t>Е.Н.Гусева</t>
  </si>
  <si>
    <t>Н.И.Сарычева</t>
  </si>
  <si>
    <t>Справка к месячному отчету на 01.05.2012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</si>
</sst>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6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Times New Roman CYR"/>
      <family val="2"/>
    </font>
    <font>
      <sz val="10"/>
      <color indexed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2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4" fillId="0" borderId="0" xfId="0" applyAlignment="1">
      <alignment horizontal="left" vertical="top" wrapText="1"/>
    </xf>
    <xf numFmtId="0" fontId="4" fillId="0" borderId="0" xfId="0" applyAlignment="1">
      <alignment horizontal="center" vertical="top" wrapText="1"/>
    </xf>
    <xf numFmtId="0" fontId="5" fillId="0" borderId="0" xfId="0" applyFont="1" applyAlignment="1">
      <alignment horizontal="left" wrapText="1"/>
    </xf>
    <xf numFmtId="167" fontId="5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tabSelected="1" view="pageBreakPreview" zoomScale="60" workbookViewId="0" topLeftCell="A1">
      <selection activeCell="I17" sqref="I17"/>
    </sheetView>
  </sheetViews>
  <sheetFormatPr defaultColWidth="9.140625" defaultRowHeight="12.75"/>
  <cols>
    <col min="1" max="1" width="7.421875" style="0" customWidth="1"/>
    <col min="2" max="2" width="29.57421875" style="0" customWidth="1"/>
    <col min="3" max="3" width="17.7109375" style="0" customWidth="1"/>
    <col min="4" max="4" width="16.57421875" style="0" customWidth="1"/>
    <col min="5" max="5" width="13.00390625" style="0" customWidth="1"/>
    <col min="6" max="6" width="15.00390625" style="0" customWidth="1"/>
    <col min="7" max="9" width="14.57421875" style="0" customWidth="1"/>
    <col min="10" max="10" width="15.00390625" style="0" customWidth="1"/>
    <col min="11" max="11" width="13.140625" style="0" customWidth="1"/>
    <col min="12" max="12" width="14.7109375" style="0" customWidth="1"/>
    <col min="13" max="13" width="12.421875" style="0" customWidth="1"/>
    <col min="14" max="14" width="13.7109375" style="0" customWidth="1"/>
    <col min="15" max="15" width="12.8515625" style="0" customWidth="1"/>
  </cols>
  <sheetData>
    <row r="1" spans="1:15" ht="12.75" customHeight="1">
      <c r="A1" s="3"/>
      <c r="B1" s="4"/>
      <c r="C1" s="4"/>
      <c r="D1" s="4"/>
      <c r="E1" s="5" t="s">
        <v>193</v>
      </c>
      <c r="F1" s="4"/>
      <c r="G1" s="4"/>
      <c r="H1" s="4"/>
      <c r="I1" s="6" t="s">
        <v>257</v>
      </c>
      <c r="J1" s="4"/>
      <c r="K1" s="4"/>
      <c r="L1" s="4"/>
      <c r="N1" s="5"/>
      <c r="O1" s="4"/>
    </row>
    <row r="2" spans="1:15" ht="12.75" customHeight="1">
      <c r="A2" s="3"/>
      <c r="B2" s="4"/>
      <c r="C2" s="4"/>
      <c r="D2" s="4"/>
      <c r="E2" s="11" t="s">
        <v>300</v>
      </c>
      <c r="F2" s="4"/>
      <c r="G2" s="4"/>
      <c r="H2" s="4"/>
      <c r="I2" s="6" t="s">
        <v>139</v>
      </c>
      <c r="J2" s="4"/>
      <c r="K2" s="4"/>
      <c r="L2" s="4"/>
      <c r="N2" s="5"/>
      <c r="O2" s="4"/>
    </row>
    <row r="3" spans="1:15" ht="12.75">
      <c r="A3" s="3" t="s">
        <v>211</v>
      </c>
      <c r="B3" s="4"/>
      <c r="C3" s="4"/>
      <c r="D3" s="4"/>
      <c r="E3" s="5" t="s">
        <v>2</v>
      </c>
      <c r="F3" s="4"/>
      <c r="G3" s="4"/>
      <c r="H3" s="4"/>
      <c r="I3" s="3" t="s">
        <v>211</v>
      </c>
      <c r="J3" s="4"/>
      <c r="K3" s="4"/>
      <c r="L3" s="4"/>
      <c r="N3" s="5"/>
      <c r="O3" s="4"/>
    </row>
    <row r="4" spans="1:15" ht="81">
      <c r="A4" s="1" t="s">
        <v>61</v>
      </c>
      <c r="B4" s="1" t="s">
        <v>264</v>
      </c>
      <c r="C4" s="1" t="s">
        <v>169</v>
      </c>
      <c r="D4" s="1" t="s">
        <v>46</v>
      </c>
      <c r="E4" s="1" t="s">
        <v>194</v>
      </c>
      <c r="F4" s="1" t="s">
        <v>53</v>
      </c>
      <c r="G4" s="1" t="s">
        <v>263</v>
      </c>
      <c r="H4" s="1" t="s">
        <v>168</v>
      </c>
      <c r="I4" s="1" t="s">
        <v>216</v>
      </c>
      <c r="J4" s="1" t="s">
        <v>238</v>
      </c>
      <c r="K4" s="1" t="s">
        <v>141</v>
      </c>
      <c r="L4" s="1" t="s">
        <v>118</v>
      </c>
      <c r="M4" s="1" t="s">
        <v>178</v>
      </c>
      <c r="N4" s="1" t="s">
        <v>251</v>
      </c>
      <c r="O4" s="1" t="s">
        <v>261</v>
      </c>
    </row>
    <row r="5" spans="1:15" ht="63.75">
      <c r="A5" s="2" t="s">
        <v>256</v>
      </c>
      <c r="B5" s="9" t="s">
        <v>279</v>
      </c>
      <c r="C5" s="9" t="s">
        <v>48</v>
      </c>
      <c r="D5" s="10">
        <f>ROUND(80389819.65,2)</f>
        <v>80389819.65</v>
      </c>
      <c r="E5" s="10">
        <f aca="true" t="shared" si="0" ref="E5:E14">ROUND(0,2)</f>
        <v>0</v>
      </c>
      <c r="F5" s="10">
        <f>ROUND(36085221.65,2)</f>
        <v>36085221.65</v>
      </c>
      <c r="G5" s="10">
        <f aca="true" t="shared" si="1" ref="G5:G28">ROUND(0,2)</f>
        <v>0</v>
      </c>
      <c r="H5" s="10">
        <f>ROUND(44304598,2)</f>
        <v>44304598</v>
      </c>
      <c r="I5" s="10">
        <f aca="true" t="shared" si="2" ref="I5:I14">ROUND(0,2)</f>
        <v>0</v>
      </c>
      <c r="J5" s="10">
        <f>ROUND(25258840.44,2)</f>
        <v>25258840.44</v>
      </c>
      <c r="K5" s="10">
        <f aca="true" t="shared" si="3" ref="K5:K14">ROUND(0,2)</f>
        <v>0</v>
      </c>
      <c r="L5" s="10">
        <f>ROUND(9656510.85,2)</f>
        <v>9656510.85</v>
      </c>
      <c r="M5" s="10">
        <f aca="true" t="shared" si="4" ref="M5:M34">ROUND(0,2)</f>
        <v>0</v>
      </c>
      <c r="N5" s="10">
        <f>ROUND(15602329.59,2)</f>
        <v>15602329.59</v>
      </c>
      <c r="O5" s="10">
        <f aca="true" t="shared" si="5" ref="O5:O14">ROUND(0,2)</f>
        <v>0</v>
      </c>
    </row>
    <row r="6" spans="1:15" ht="25.5">
      <c r="A6" s="2" t="s">
        <v>108</v>
      </c>
      <c r="B6" s="9" t="s">
        <v>22</v>
      </c>
      <c r="C6" s="9" t="s">
        <v>205</v>
      </c>
      <c r="D6" s="10">
        <f>ROUND(46143707.37,2)</f>
        <v>46143707.37</v>
      </c>
      <c r="E6" s="10">
        <f t="shared" si="0"/>
        <v>0</v>
      </c>
      <c r="F6" s="10">
        <f>ROUND(21970907.37,2)</f>
        <v>21970907.37</v>
      </c>
      <c r="G6" s="10">
        <f t="shared" si="1"/>
        <v>0</v>
      </c>
      <c r="H6" s="10">
        <f>ROUND(24172800,2)</f>
        <v>24172800</v>
      </c>
      <c r="I6" s="10">
        <f t="shared" si="2"/>
        <v>0</v>
      </c>
      <c r="J6" s="10">
        <f>ROUND(13115568.88,2)</f>
        <v>13115568.88</v>
      </c>
      <c r="K6" s="10">
        <f t="shared" si="3"/>
        <v>0</v>
      </c>
      <c r="L6" s="10">
        <f>ROUND(5264207.8,2)</f>
        <v>5264207.8</v>
      </c>
      <c r="M6" s="10">
        <f t="shared" si="4"/>
        <v>0</v>
      </c>
      <c r="N6" s="10">
        <f>ROUND(7851361.08,2)</f>
        <v>7851361.08</v>
      </c>
      <c r="O6" s="10">
        <f t="shared" si="5"/>
        <v>0</v>
      </c>
    </row>
    <row r="7" spans="1:15" ht="25.5">
      <c r="A7" s="2" t="s">
        <v>285</v>
      </c>
      <c r="B7" s="9" t="s">
        <v>138</v>
      </c>
      <c r="C7" s="9" t="s">
        <v>136</v>
      </c>
      <c r="D7" s="10">
        <f>ROUND(31896304.37,2)</f>
        <v>31896304.37</v>
      </c>
      <c r="E7" s="10">
        <f t="shared" si="0"/>
        <v>0</v>
      </c>
      <c r="F7" s="10">
        <f>ROUND(17171107.37,2)</f>
        <v>17171107.37</v>
      </c>
      <c r="G7" s="10">
        <f t="shared" si="1"/>
        <v>0</v>
      </c>
      <c r="H7" s="10">
        <f>ROUND(14725197,2)</f>
        <v>14725197</v>
      </c>
      <c r="I7" s="10">
        <f t="shared" si="2"/>
        <v>0</v>
      </c>
      <c r="J7" s="10">
        <f>ROUND(8992882.19,2)</f>
        <v>8992882.19</v>
      </c>
      <c r="K7" s="10">
        <f t="shared" si="3"/>
        <v>0</v>
      </c>
      <c r="L7" s="10">
        <f>ROUND(3956271.46,2)</f>
        <v>3956271.46</v>
      </c>
      <c r="M7" s="10">
        <f t="shared" si="4"/>
        <v>0</v>
      </c>
      <c r="N7" s="10">
        <f>ROUND(5036610.73,2)</f>
        <v>5036610.73</v>
      </c>
      <c r="O7" s="10">
        <f t="shared" si="5"/>
        <v>0</v>
      </c>
    </row>
    <row r="8" spans="1:15" ht="12.75">
      <c r="A8" s="2" t="s">
        <v>90</v>
      </c>
      <c r="B8" s="9" t="s">
        <v>127</v>
      </c>
      <c r="C8" s="9" t="s">
        <v>128</v>
      </c>
      <c r="D8" s="10">
        <f>ROUND(14247403,2)</f>
        <v>14247403</v>
      </c>
      <c r="E8" s="10">
        <f t="shared" si="0"/>
        <v>0</v>
      </c>
      <c r="F8" s="10">
        <f>ROUND(4799800,2)</f>
        <v>4799800</v>
      </c>
      <c r="G8" s="10">
        <f t="shared" si="1"/>
        <v>0</v>
      </c>
      <c r="H8" s="10">
        <f>ROUND(9447603,2)</f>
        <v>9447603</v>
      </c>
      <c r="I8" s="10">
        <f t="shared" si="2"/>
        <v>0</v>
      </c>
      <c r="J8" s="10">
        <f>ROUND(4122686.69,2)</f>
        <v>4122686.69</v>
      </c>
      <c r="K8" s="10">
        <f t="shared" si="3"/>
        <v>0</v>
      </c>
      <c r="L8" s="10">
        <f>ROUND(1307936.34,2)</f>
        <v>1307936.34</v>
      </c>
      <c r="M8" s="10">
        <f t="shared" si="4"/>
        <v>0</v>
      </c>
      <c r="N8" s="10">
        <f>ROUND(2814750.35,2)</f>
        <v>2814750.35</v>
      </c>
      <c r="O8" s="10">
        <f t="shared" si="5"/>
        <v>0</v>
      </c>
    </row>
    <row r="9" spans="1:15" ht="12.75">
      <c r="A9" s="2" t="s">
        <v>219</v>
      </c>
      <c r="B9" s="9" t="s">
        <v>116</v>
      </c>
      <c r="C9" s="9" t="s">
        <v>268</v>
      </c>
      <c r="D9" s="10">
        <f>ROUND(6400,2)</f>
        <v>6400</v>
      </c>
      <c r="E9" s="10">
        <f t="shared" si="0"/>
        <v>0</v>
      </c>
      <c r="F9" s="10">
        <f>ROUND(1400,2)</f>
        <v>1400</v>
      </c>
      <c r="G9" s="10">
        <f t="shared" si="1"/>
        <v>0</v>
      </c>
      <c r="H9" s="10">
        <f>ROUND(5000,2)</f>
        <v>5000</v>
      </c>
      <c r="I9" s="10">
        <f t="shared" si="2"/>
        <v>0</v>
      </c>
      <c r="J9" s="10">
        <f>ROUND(1070,2)</f>
        <v>1070</v>
      </c>
      <c r="K9" s="10">
        <f t="shared" si="3"/>
        <v>0</v>
      </c>
      <c r="L9" s="10">
        <f>ROUND(1070,2)</f>
        <v>1070</v>
      </c>
      <c r="M9" s="10">
        <f t="shared" si="4"/>
        <v>0</v>
      </c>
      <c r="N9" s="10">
        <f>ROUND(0,2)</f>
        <v>0</v>
      </c>
      <c r="O9" s="10">
        <f t="shared" si="5"/>
        <v>0</v>
      </c>
    </row>
    <row r="10" spans="1:15" ht="25.5">
      <c r="A10" s="2" t="s">
        <v>129</v>
      </c>
      <c r="B10" s="9" t="s">
        <v>288</v>
      </c>
      <c r="C10" s="9" t="s">
        <v>136</v>
      </c>
      <c r="D10" s="10">
        <f>ROUND(3950,2)</f>
        <v>3950</v>
      </c>
      <c r="E10" s="10">
        <f t="shared" si="0"/>
        <v>0</v>
      </c>
      <c r="F10" s="10">
        <f>ROUND(950,2)</f>
        <v>950</v>
      </c>
      <c r="G10" s="10">
        <f t="shared" si="1"/>
        <v>0</v>
      </c>
      <c r="H10" s="10">
        <f>ROUND(3000,2)</f>
        <v>3000</v>
      </c>
      <c r="I10" s="10">
        <f t="shared" si="2"/>
        <v>0</v>
      </c>
      <c r="J10" s="10">
        <f>ROUND(620,2)</f>
        <v>620</v>
      </c>
      <c r="K10" s="10">
        <f t="shared" si="3"/>
        <v>0</v>
      </c>
      <c r="L10" s="10">
        <f>ROUND(620,2)</f>
        <v>620</v>
      </c>
      <c r="M10" s="10">
        <f t="shared" si="4"/>
        <v>0</v>
      </c>
      <c r="N10" s="10">
        <f>ROUND(0,2)</f>
        <v>0</v>
      </c>
      <c r="O10" s="10">
        <f t="shared" si="5"/>
        <v>0</v>
      </c>
    </row>
    <row r="11" spans="1:15" ht="12.75">
      <c r="A11" s="2" t="s">
        <v>276</v>
      </c>
      <c r="B11" s="9" t="s">
        <v>3</v>
      </c>
      <c r="C11" s="9" t="s">
        <v>128</v>
      </c>
      <c r="D11" s="10">
        <f>ROUND(2450,2)</f>
        <v>2450</v>
      </c>
      <c r="E11" s="10">
        <f t="shared" si="0"/>
        <v>0</v>
      </c>
      <c r="F11" s="10">
        <f>ROUND(450,2)</f>
        <v>450</v>
      </c>
      <c r="G11" s="10">
        <f t="shared" si="1"/>
        <v>0</v>
      </c>
      <c r="H11" s="10">
        <f>ROUND(2000,2)</f>
        <v>2000</v>
      </c>
      <c r="I11" s="10">
        <f t="shared" si="2"/>
        <v>0</v>
      </c>
      <c r="J11" s="10">
        <f>ROUND(450,2)</f>
        <v>450</v>
      </c>
      <c r="K11" s="10">
        <f t="shared" si="3"/>
        <v>0</v>
      </c>
      <c r="L11" s="10">
        <f>ROUND(450,2)</f>
        <v>450</v>
      </c>
      <c r="M11" s="10">
        <f t="shared" si="4"/>
        <v>0</v>
      </c>
      <c r="N11" s="10">
        <f>ROUND(0,2)</f>
        <v>0</v>
      </c>
      <c r="O11" s="10">
        <f t="shared" si="5"/>
        <v>0</v>
      </c>
    </row>
    <row r="12" spans="1:15" ht="38.25">
      <c r="A12" s="2" t="s">
        <v>133</v>
      </c>
      <c r="B12" s="9" t="s">
        <v>208</v>
      </c>
      <c r="C12" s="9" t="s">
        <v>51</v>
      </c>
      <c r="D12" s="10">
        <f>ROUND(14253423.63,2)</f>
        <v>14253423.63</v>
      </c>
      <c r="E12" s="10">
        <f t="shared" si="0"/>
        <v>0</v>
      </c>
      <c r="F12" s="10">
        <f>ROUND(7044023.63,2)</f>
        <v>7044023.63</v>
      </c>
      <c r="G12" s="10">
        <f t="shared" si="1"/>
        <v>0</v>
      </c>
      <c r="H12" s="10">
        <f>ROUND(7209400,2)</f>
        <v>7209400</v>
      </c>
      <c r="I12" s="10">
        <f t="shared" si="2"/>
        <v>0</v>
      </c>
      <c r="J12" s="10">
        <f>ROUND(3156871.47,2)</f>
        <v>3156871.47</v>
      </c>
      <c r="K12" s="10">
        <f t="shared" si="3"/>
        <v>0</v>
      </c>
      <c r="L12" s="10">
        <f>ROUND(1054079.74,2)</f>
        <v>1054079.74</v>
      </c>
      <c r="M12" s="10">
        <f t="shared" si="4"/>
        <v>0</v>
      </c>
      <c r="N12" s="10">
        <f>ROUND(2102791.73,2)</f>
        <v>2102791.73</v>
      </c>
      <c r="O12" s="10">
        <f t="shared" si="5"/>
        <v>0</v>
      </c>
    </row>
    <row r="13" spans="1:15" ht="25.5">
      <c r="A13" s="2" t="s">
        <v>273</v>
      </c>
      <c r="B13" s="9" t="s">
        <v>49</v>
      </c>
      <c r="C13" s="9" t="s">
        <v>136</v>
      </c>
      <c r="D13" s="10">
        <f>ROUND(10052598.63,2)</f>
        <v>10052598.63</v>
      </c>
      <c r="E13" s="10">
        <f t="shared" si="0"/>
        <v>0</v>
      </c>
      <c r="F13" s="10">
        <f>ROUND(5586223.63,2)</f>
        <v>5586223.63</v>
      </c>
      <c r="G13" s="10">
        <f t="shared" si="1"/>
        <v>0</v>
      </c>
      <c r="H13" s="10">
        <f>ROUND(4466375,2)</f>
        <v>4466375</v>
      </c>
      <c r="I13" s="10">
        <f t="shared" si="2"/>
        <v>0</v>
      </c>
      <c r="J13" s="10">
        <f>ROUND(2200274.78,2)</f>
        <v>2200274.78</v>
      </c>
      <c r="K13" s="10">
        <f t="shared" si="3"/>
        <v>0</v>
      </c>
      <c r="L13" s="10">
        <f>ROUND(827253.57,2)</f>
        <v>827253.57</v>
      </c>
      <c r="M13" s="10">
        <f t="shared" si="4"/>
        <v>0</v>
      </c>
      <c r="N13" s="10">
        <f>ROUND(1373021.21,2)</f>
        <v>1373021.21</v>
      </c>
      <c r="O13" s="10">
        <f t="shared" si="5"/>
        <v>0</v>
      </c>
    </row>
    <row r="14" spans="1:15" ht="12.75">
      <c r="A14" s="2" t="s">
        <v>17</v>
      </c>
      <c r="B14" s="9" t="s">
        <v>248</v>
      </c>
      <c r="C14" s="9" t="s">
        <v>128</v>
      </c>
      <c r="D14" s="10">
        <f>ROUND(4200825,2)</f>
        <v>4200825</v>
      </c>
      <c r="E14" s="10">
        <f t="shared" si="0"/>
        <v>0</v>
      </c>
      <c r="F14" s="10">
        <f>ROUND(1457800,2)</f>
        <v>1457800</v>
      </c>
      <c r="G14" s="10">
        <f t="shared" si="1"/>
        <v>0</v>
      </c>
      <c r="H14" s="10">
        <f>ROUND(2743025,2)</f>
        <v>2743025</v>
      </c>
      <c r="I14" s="10">
        <f t="shared" si="2"/>
        <v>0</v>
      </c>
      <c r="J14" s="10">
        <f>ROUND(956596.69,2)</f>
        <v>956596.69</v>
      </c>
      <c r="K14" s="10">
        <f t="shared" si="3"/>
        <v>0</v>
      </c>
      <c r="L14" s="10">
        <f>ROUND(226826.17,2)</f>
        <v>226826.17</v>
      </c>
      <c r="M14" s="10">
        <f t="shared" si="4"/>
        <v>0</v>
      </c>
      <c r="N14" s="10">
        <f>ROUND(729770.52,2)</f>
        <v>729770.52</v>
      </c>
      <c r="O14" s="10">
        <f t="shared" si="5"/>
        <v>0</v>
      </c>
    </row>
    <row r="15" spans="1:15" ht="89.25">
      <c r="A15" s="2" t="s">
        <v>212</v>
      </c>
      <c r="B15" s="9" t="s">
        <v>134</v>
      </c>
      <c r="C15" s="9" t="s">
        <v>29</v>
      </c>
      <c r="D15" s="10">
        <f>ROUND(1928900,2)</f>
        <v>1928900</v>
      </c>
      <c r="E15" s="10">
        <f>ROUND(1928900,2)</f>
        <v>1928900</v>
      </c>
      <c r="F15" s="10">
        <f aca="true" t="shared" si="6" ref="F15:F25">ROUND(0,2)</f>
        <v>0</v>
      </c>
      <c r="G15" s="10">
        <f t="shared" si="1"/>
        <v>0</v>
      </c>
      <c r="H15" s="10">
        <f>ROUND(1928900,2)</f>
        <v>1928900</v>
      </c>
      <c r="I15" s="10">
        <f>ROUND(1928900,2)</f>
        <v>1928900</v>
      </c>
      <c r="J15" s="10">
        <f>ROUND(404892.11,2)</f>
        <v>404892.11</v>
      </c>
      <c r="K15" s="10">
        <f>ROUND(404892.11,2)</f>
        <v>404892.11</v>
      </c>
      <c r="L15" s="10">
        <f aca="true" t="shared" si="7" ref="L15:L26">ROUND(0,2)</f>
        <v>0</v>
      </c>
      <c r="M15" s="10">
        <f t="shared" si="4"/>
        <v>0</v>
      </c>
      <c r="N15" s="10">
        <f>ROUND(404892.11,2)</f>
        <v>404892.11</v>
      </c>
      <c r="O15" s="10">
        <f>ROUND(404892.11,2)</f>
        <v>404892.11</v>
      </c>
    </row>
    <row r="16" spans="1:15" ht="38.25">
      <c r="A16" s="2" t="s">
        <v>18</v>
      </c>
      <c r="B16" s="9" t="s">
        <v>233</v>
      </c>
      <c r="C16" s="9" t="s">
        <v>241</v>
      </c>
      <c r="D16" s="10">
        <f>ROUND(0,2)</f>
        <v>0</v>
      </c>
      <c r="E16" s="10">
        <f>ROUND(8388000,2)</f>
        <v>8388000</v>
      </c>
      <c r="F16" s="10">
        <f t="shared" si="6"/>
        <v>0</v>
      </c>
      <c r="G16" s="10">
        <f t="shared" si="1"/>
        <v>0</v>
      </c>
      <c r="H16" s="10">
        <f>ROUND(0,2)</f>
        <v>0</v>
      </c>
      <c r="I16" s="10">
        <f>ROUND(8388000,2)</f>
        <v>8388000</v>
      </c>
      <c r="J16" s="10">
        <f aca="true" t="shared" si="8" ref="J16:K24">ROUND(0,2)</f>
        <v>0</v>
      </c>
      <c r="K16" s="10">
        <f t="shared" si="8"/>
        <v>0</v>
      </c>
      <c r="L16" s="10">
        <f t="shared" si="7"/>
        <v>0</v>
      </c>
      <c r="M16" s="10">
        <f t="shared" si="4"/>
        <v>0</v>
      </c>
      <c r="N16" s="10">
        <f aca="true" t="shared" si="9" ref="N16:O24">ROUND(0,2)</f>
        <v>0</v>
      </c>
      <c r="O16" s="10">
        <f t="shared" si="9"/>
        <v>0</v>
      </c>
    </row>
    <row r="17" spans="1:15" ht="153">
      <c r="A17" s="2" t="s">
        <v>191</v>
      </c>
      <c r="B17" s="9" t="s">
        <v>149</v>
      </c>
      <c r="C17" s="9" t="s">
        <v>267</v>
      </c>
      <c r="D17" s="10">
        <f>ROUND(0,2)</f>
        <v>0</v>
      </c>
      <c r="E17" s="10">
        <f>ROUND(8388000,2)</f>
        <v>8388000</v>
      </c>
      <c r="F17" s="10">
        <f t="shared" si="6"/>
        <v>0</v>
      </c>
      <c r="G17" s="10">
        <f t="shared" si="1"/>
        <v>0</v>
      </c>
      <c r="H17" s="10">
        <f>ROUND(0,2)</f>
        <v>0</v>
      </c>
      <c r="I17" s="10">
        <f>ROUND(8388000,2)</f>
        <v>8388000</v>
      </c>
      <c r="J17" s="10">
        <f t="shared" si="8"/>
        <v>0</v>
      </c>
      <c r="K17" s="10">
        <f t="shared" si="8"/>
        <v>0</v>
      </c>
      <c r="L17" s="10">
        <f t="shared" si="7"/>
        <v>0</v>
      </c>
      <c r="M17" s="10">
        <f t="shared" si="4"/>
        <v>0</v>
      </c>
      <c r="N17" s="10">
        <f t="shared" si="9"/>
        <v>0</v>
      </c>
      <c r="O17" s="10">
        <f t="shared" si="9"/>
        <v>0</v>
      </c>
    </row>
    <row r="18" spans="1:15" ht="25.5">
      <c r="A18" s="2" t="s">
        <v>198</v>
      </c>
      <c r="B18" s="9" t="s">
        <v>88</v>
      </c>
      <c r="C18" s="9" t="s">
        <v>246</v>
      </c>
      <c r="D18" s="10">
        <f>ROUND(0,2)</f>
        <v>0</v>
      </c>
      <c r="E18" s="10">
        <f>ROUND(8388000,2)</f>
        <v>8388000</v>
      </c>
      <c r="F18" s="10">
        <f t="shared" si="6"/>
        <v>0</v>
      </c>
      <c r="G18" s="10">
        <f t="shared" si="1"/>
        <v>0</v>
      </c>
      <c r="H18" s="10">
        <f>ROUND(0,2)</f>
        <v>0</v>
      </c>
      <c r="I18" s="10">
        <f>ROUND(8388000,2)</f>
        <v>8388000</v>
      </c>
      <c r="J18" s="10">
        <f t="shared" si="8"/>
        <v>0</v>
      </c>
      <c r="K18" s="10">
        <f t="shared" si="8"/>
        <v>0</v>
      </c>
      <c r="L18" s="10">
        <f t="shared" si="7"/>
        <v>0</v>
      </c>
      <c r="M18" s="10">
        <f t="shared" si="4"/>
        <v>0</v>
      </c>
      <c r="N18" s="10">
        <f t="shared" si="9"/>
        <v>0</v>
      </c>
      <c r="O18" s="10">
        <f t="shared" si="9"/>
        <v>0</v>
      </c>
    </row>
    <row r="19" spans="1:15" ht="38.25">
      <c r="A19" s="2" t="s">
        <v>280</v>
      </c>
      <c r="B19" s="9" t="s">
        <v>152</v>
      </c>
      <c r="C19" s="9" t="s">
        <v>230</v>
      </c>
      <c r="D19" s="10">
        <f>ROUND(10000,2)</f>
        <v>10000</v>
      </c>
      <c r="E19" s="10">
        <f aca="true" t="shared" si="10" ref="E19:E28">ROUND(0,2)</f>
        <v>0</v>
      </c>
      <c r="F19" s="10">
        <f t="shared" si="6"/>
        <v>0</v>
      </c>
      <c r="G19" s="10">
        <f t="shared" si="1"/>
        <v>0</v>
      </c>
      <c r="H19" s="10">
        <f>ROUND(10000,2)</f>
        <v>10000</v>
      </c>
      <c r="I19" s="10">
        <f aca="true" t="shared" si="11" ref="I19:I28">ROUND(0,2)</f>
        <v>0</v>
      </c>
      <c r="J19" s="10">
        <f t="shared" si="8"/>
        <v>0</v>
      </c>
      <c r="K19" s="10">
        <f t="shared" si="8"/>
        <v>0</v>
      </c>
      <c r="L19" s="10">
        <f t="shared" si="7"/>
        <v>0</v>
      </c>
      <c r="M19" s="10">
        <f t="shared" si="4"/>
        <v>0</v>
      </c>
      <c r="N19" s="10">
        <f t="shared" si="9"/>
        <v>0</v>
      </c>
      <c r="O19" s="10">
        <f t="shared" si="9"/>
        <v>0</v>
      </c>
    </row>
    <row r="20" spans="1:15" ht="127.5">
      <c r="A20" s="2" t="s">
        <v>82</v>
      </c>
      <c r="B20" s="9" t="s">
        <v>111</v>
      </c>
      <c r="C20" s="9" t="s">
        <v>206</v>
      </c>
      <c r="D20" s="10">
        <f>ROUND(12103439,2)</f>
        <v>12103439</v>
      </c>
      <c r="E20" s="10">
        <f t="shared" si="10"/>
        <v>0</v>
      </c>
      <c r="F20" s="10">
        <f t="shared" si="6"/>
        <v>0</v>
      </c>
      <c r="G20" s="10">
        <f t="shared" si="1"/>
        <v>0</v>
      </c>
      <c r="H20" s="10">
        <f>ROUND(12103439,2)</f>
        <v>12103439</v>
      </c>
      <c r="I20" s="10">
        <f t="shared" si="11"/>
        <v>0</v>
      </c>
      <c r="J20" s="10">
        <f t="shared" si="8"/>
        <v>0</v>
      </c>
      <c r="K20" s="10">
        <f t="shared" si="8"/>
        <v>0</v>
      </c>
      <c r="L20" s="10">
        <f t="shared" si="7"/>
        <v>0</v>
      </c>
      <c r="M20" s="10">
        <f t="shared" si="4"/>
        <v>0</v>
      </c>
      <c r="N20" s="10">
        <f t="shared" si="9"/>
        <v>0</v>
      </c>
      <c r="O20" s="10">
        <f t="shared" si="9"/>
        <v>0</v>
      </c>
    </row>
    <row r="21" spans="1:15" ht="242.25">
      <c r="A21" s="2" t="s">
        <v>286</v>
      </c>
      <c r="B21" s="9" t="s">
        <v>40</v>
      </c>
      <c r="C21" s="9" t="s">
        <v>4</v>
      </c>
      <c r="D21" s="10">
        <f>ROUND(9084613,2)</f>
        <v>9084613</v>
      </c>
      <c r="E21" s="10">
        <f t="shared" si="10"/>
        <v>0</v>
      </c>
      <c r="F21" s="10">
        <f t="shared" si="6"/>
        <v>0</v>
      </c>
      <c r="G21" s="10">
        <f t="shared" si="1"/>
        <v>0</v>
      </c>
      <c r="H21" s="10">
        <f>ROUND(9084613,2)</f>
        <v>9084613</v>
      </c>
      <c r="I21" s="10">
        <f t="shared" si="11"/>
        <v>0</v>
      </c>
      <c r="J21" s="10">
        <f t="shared" si="8"/>
        <v>0</v>
      </c>
      <c r="K21" s="10">
        <f t="shared" si="8"/>
        <v>0</v>
      </c>
      <c r="L21" s="10">
        <f t="shared" si="7"/>
        <v>0</v>
      </c>
      <c r="M21" s="10">
        <f t="shared" si="4"/>
        <v>0</v>
      </c>
      <c r="N21" s="10">
        <f t="shared" si="9"/>
        <v>0</v>
      </c>
      <c r="O21" s="10">
        <f t="shared" si="9"/>
        <v>0</v>
      </c>
    </row>
    <row r="22" spans="1:15" ht="89.25">
      <c r="A22" s="2" t="s">
        <v>100</v>
      </c>
      <c r="B22" s="9" t="s">
        <v>77</v>
      </c>
      <c r="C22" s="9" t="s">
        <v>245</v>
      </c>
      <c r="D22" s="10">
        <f>ROUND(9084613,2)</f>
        <v>9084613</v>
      </c>
      <c r="E22" s="10">
        <f t="shared" si="10"/>
        <v>0</v>
      </c>
      <c r="F22" s="10">
        <f t="shared" si="6"/>
        <v>0</v>
      </c>
      <c r="G22" s="10">
        <f t="shared" si="1"/>
        <v>0</v>
      </c>
      <c r="H22" s="10">
        <f>ROUND(9084613,2)</f>
        <v>9084613</v>
      </c>
      <c r="I22" s="10">
        <f t="shared" si="11"/>
        <v>0</v>
      </c>
      <c r="J22" s="10">
        <f t="shared" si="8"/>
        <v>0</v>
      </c>
      <c r="K22" s="10">
        <f t="shared" si="8"/>
        <v>0</v>
      </c>
      <c r="L22" s="10">
        <f t="shared" si="7"/>
        <v>0</v>
      </c>
      <c r="M22" s="10">
        <f t="shared" si="4"/>
        <v>0</v>
      </c>
      <c r="N22" s="10">
        <f t="shared" si="9"/>
        <v>0</v>
      </c>
      <c r="O22" s="10">
        <f t="shared" si="9"/>
        <v>0</v>
      </c>
    </row>
    <row r="23" spans="1:15" ht="204">
      <c r="A23" s="2" t="s">
        <v>45</v>
      </c>
      <c r="B23" s="9" t="s">
        <v>270</v>
      </c>
      <c r="C23" s="9" t="s">
        <v>159</v>
      </c>
      <c r="D23" s="10">
        <f>ROUND(3018826,2)</f>
        <v>3018826</v>
      </c>
      <c r="E23" s="10">
        <f t="shared" si="10"/>
        <v>0</v>
      </c>
      <c r="F23" s="10">
        <f t="shared" si="6"/>
        <v>0</v>
      </c>
      <c r="G23" s="10">
        <f t="shared" si="1"/>
        <v>0</v>
      </c>
      <c r="H23" s="10">
        <f>ROUND(3018826,2)</f>
        <v>3018826</v>
      </c>
      <c r="I23" s="10">
        <f t="shared" si="11"/>
        <v>0</v>
      </c>
      <c r="J23" s="10">
        <f t="shared" si="8"/>
        <v>0</v>
      </c>
      <c r="K23" s="10">
        <f t="shared" si="8"/>
        <v>0</v>
      </c>
      <c r="L23" s="10">
        <f t="shared" si="7"/>
        <v>0</v>
      </c>
      <c r="M23" s="10">
        <f t="shared" si="4"/>
        <v>0</v>
      </c>
      <c r="N23" s="10">
        <f t="shared" si="9"/>
        <v>0</v>
      </c>
      <c r="O23" s="10">
        <f t="shared" si="9"/>
        <v>0</v>
      </c>
    </row>
    <row r="24" spans="1:15" ht="89.25">
      <c r="A24" s="2" t="s">
        <v>210</v>
      </c>
      <c r="B24" s="9" t="s">
        <v>140</v>
      </c>
      <c r="C24" s="9" t="s">
        <v>245</v>
      </c>
      <c r="D24" s="10">
        <f>ROUND(3018826,2)</f>
        <v>3018826</v>
      </c>
      <c r="E24" s="10">
        <f t="shared" si="10"/>
        <v>0</v>
      </c>
      <c r="F24" s="10">
        <f t="shared" si="6"/>
        <v>0</v>
      </c>
      <c r="G24" s="10">
        <f t="shared" si="1"/>
        <v>0</v>
      </c>
      <c r="H24" s="10">
        <f>ROUND(3018826,2)</f>
        <v>3018826</v>
      </c>
      <c r="I24" s="10">
        <f t="shared" si="11"/>
        <v>0</v>
      </c>
      <c r="J24" s="10">
        <f t="shared" si="8"/>
        <v>0</v>
      </c>
      <c r="K24" s="10">
        <f t="shared" si="8"/>
        <v>0</v>
      </c>
      <c r="L24" s="10">
        <f t="shared" si="7"/>
        <v>0</v>
      </c>
      <c r="M24" s="10">
        <f t="shared" si="4"/>
        <v>0</v>
      </c>
      <c r="N24" s="10">
        <f t="shared" si="9"/>
        <v>0</v>
      </c>
      <c r="O24" s="10">
        <f t="shared" si="9"/>
        <v>0</v>
      </c>
    </row>
    <row r="25" spans="1:15" ht="38.25">
      <c r="A25" s="2" t="s">
        <v>183</v>
      </c>
      <c r="B25" s="9" t="s">
        <v>224</v>
      </c>
      <c r="C25" s="9" t="s">
        <v>55</v>
      </c>
      <c r="D25" s="10">
        <f>ROUND(3453600,2)</f>
        <v>3453600</v>
      </c>
      <c r="E25" s="10">
        <f t="shared" si="10"/>
        <v>0</v>
      </c>
      <c r="F25" s="10">
        <f t="shared" si="6"/>
        <v>0</v>
      </c>
      <c r="G25" s="10">
        <f t="shared" si="1"/>
        <v>0</v>
      </c>
      <c r="H25" s="10">
        <f>ROUND(3453600,2)</f>
        <v>3453600</v>
      </c>
      <c r="I25" s="10">
        <f t="shared" si="11"/>
        <v>0</v>
      </c>
      <c r="J25" s="10">
        <f>ROUND(276644,2)</f>
        <v>276644</v>
      </c>
      <c r="K25" s="10">
        <f aca="true" t="shared" si="12" ref="K25:K34">ROUND(0,2)</f>
        <v>0</v>
      </c>
      <c r="L25" s="10">
        <f t="shared" si="7"/>
        <v>0</v>
      </c>
      <c r="M25" s="10">
        <f t="shared" si="4"/>
        <v>0</v>
      </c>
      <c r="N25" s="10">
        <f>ROUND(276644,2)</f>
        <v>276644</v>
      </c>
      <c r="O25" s="10">
        <f aca="true" t="shared" si="13" ref="O25:O57">ROUND(0,2)</f>
        <v>0</v>
      </c>
    </row>
    <row r="26" spans="1:15" ht="25.5">
      <c r="A26" s="2" t="s">
        <v>290</v>
      </c>
      <c r="B26" s="9" t="s">
        <v>173</v>
      </c>
      <c r="C26" s="9" t="s">
        <v>150</v>
      </c>
      <c r="D26" s="10">
        <f>ROUND(38419817.49,2)</f>
        <v>38419817.49</v>
      </c>
      <c r="E26" s="10">
        <f t="shared" si="10"/>
        <v>0</v>
      </c>
      <c r="F26" s="10">
        <f>ROUND(8489425,2)</f>
        <v>8489425</v>
      </c>
      <c r="G26" s="10">
        <f t="shared" si="1"/>
        <v>0</v>
      </c>
      <c r="H26" s="10">
        <f>ROUND(29930392.49,2)</f>
        <v>29930392.49</v>
      </c>
      <c r="I26" s="10">
        <f t="shared" si="11"/>
        <v>0</v>
      </c>
      <c r="J26" s="10">
        <f>ROUND(4277385.47,2)</f>
        <v>4277385.47</v>
      </c>
      <c r="K26" s="10">
        <f t="shared" si="12"/>
        <v>0</v>
      </c>
      <c r="L26" s="10">
        <f t="shared" si="7"/>
        <v>0</v>
      </c>
      <c r="M26" s="10">
        <f t="shared" si="4"/>
        <v>0</v>
      </c>
      <c r="N26" s="10">
        <f>ROUND(4277385.47,2)</f>
        <v>4277385.47</v>
      </c>
      <c r="O26" s="10">
        <f t="shared" si="13"/>
        <v>0</v>
      </c>
    </row>
    <row r="27" spans="1:15" ht="38.25">
      <c r="A27" s="2" t="s">
        <v>68</v>
      </c>
      <c r="B27" s="9" t="s">
        <v>137</v>
      </c>
      <c r="C27" s="9" t="s">
        <v>63</v>
      </c>
      <c r="D27" s="10">
        <f>ROUND(6753138.34,2)</f>
        <v>6753138.34</v>
      </c>
      <c r="E27" s="10">
        <f t="shared" si="10"/>
        <v>0</v>
      </c>
      <c r="F27" s="10">
        <f>ROUND(5794873.34,2)</f>
        <v>5794873.34</v>
      </c>
      <c r="G27" s="10">
        <f t="shared" si="1"/>
        <v>0</v>
      </c>
      <c r="H27" s="10">
        <f>ROUND(958265,2)</f>
        <v>958265</v>
      </c>
      <c r="I27" s="10">
        <f t="shared" si="11"/>
        <v>0</v>
      </c>
      <c r="J27" s="10">
        <f>ROUND(2807528.46,2)</f>
        <v>2807528.46</v>
      </c>
      <c r="K27" s="10">
        <f t="shared" si="12"/>
        <v>0</v>
      </c>
      <c r="L27" s="10">
        <f>ROUND(2593811.71,2)</f>
        <v>2593811.71</v>
      </c>
      <c r="M27" s="10">
        <f t="shared" si="4"/>
        <v>0</v>
      </c>
      <c r="N27" s="10">
        <f>ROUND(213716.75,2)</f>
        <v>213716.75</v>
      </c>
      <c r="O27" s="10">
        <f t="shared" si="13"/>
        <v>0</v>
      </c>
    </row>
    <row r="28" spans="1:15" ht="76.5">
      <c r="A28" s="2" t="s">
        <v>177</v>
      </c>
      <c r="B28" s="9" t="s">
        <v>81</v>
      </c>
      <c r="C28" s="9" t="s">
        <v>19</v>
      </c>
      <c r="D28" s="10">
        <f>ROUND(5794873.34,2)</f>
        <v>5794873.34</v>
      </c>
      <c r="E28" s="10">
        <f t="shared" si="10"/>
        <v>0</v>
      </c>
      <c r="F28" s="10">
        <f>ROUND(5794873.34,2)</f>
        <v>5794873.34</v>
      </c>
      <c r="G28" s="10">
        <f t="shared" si="1"/>
        <v>0</v>
      </c>
      <c r="H28" s="10">
        <f>ROUND(0,2)</f>
        <v>0</v>
      </c>
      <c r="I28" s="10">
        <f t="shared" si="11"/>
        <v>0</v>
      </c>
      <c r="J28" s="10">
        <f>ROUND(2593811.71,2)</f>
        <v>2593811.71</v>
      </c>
      <c r="K28" s="10">
        <f t="shared" si="12"/>
        <v>0</v>
      </c>
      <c r="L28" s="10">
        <f>ROUND(2593811.71,2)</f>
        <v>2593811.71</v>
      </c>
      <c r="M28" s="10">
        <f t="shared" si="4"/>
        <v>0</v>
      </c>
      <c r="N28" s="10">
        <f aca="true" t="shared" si="14" ref="N28:N40">ROUND(0,2)</f>
        <v>0</v>
      </c>
      <c r="O28" s="10">
        <f t="shared" si="13"/>
        <v>0</v>
      </c>
    </row>
    <row r="29" spans="1:15" ht="76.5">
      <c r="A29" s="2" t="s">
        <v>35</v>
      </c>
      <c r="B29" s="9" t="s">
        <v>186</v>
      </c>
      <c r="C29" s="9" t="s">
        <v>179</v>
      </c>
      <c r="D29" s="10">
        <f>ROUND(15945938,2)</f>
        <v>15945938</v>
      </c>
      <c r="E29" s="10">
        <f>ROUND(15945938,2)</f>
        <v>15945938</v>
      </c>
      <c r="F29" s="10">
        <f>ROUND(13949100,2)</f>
        <v>13949100</v>
      </c>
      <c r="G29" s="10">
        <f>ROUND(13949100,2)</f>
        <v>13949100</v>
      </c>
      <c r="H29" s="10">
        <f>ROUND(1996838,2)</f>
        <v>1996838</v>
      </c>
      <c r="I29" s="10">
        <f>ROUND(1996838,2)</f>
        <v>1996838</v>
      </c>
      <c r="J29" s="10">
        <f aca="true" t="shared" si="15" ref="J29:J34">ROUND(0,2)</f>
        <v>0</v>
      </c>
      <c r="K29" s="10">
        <f t="shared" si="12"/>
        <v>0</v>
      </c>
      <c r="L29" s="10">
        <f aca="true" t="shared" si="16" ref="L29:L34">ROUND(0,2)</f>
        <v>0</v>
      </c>
      <c r="M29" s="10">
        <f t="shared" si="4"/>
        <v>0</v>
      </c>
      <c r="N29" s="10">
        <f t="shared" si="14"/>
        <v>0</v>
      </c>
      <c r="O29" s="10">
        <f t="shared" si="13"/>
        <v>0</v>
      </c>
    </row>
    <row r="30" spans="1:15" ht="25.5">
      <c r="A30" s="2" t="s">
        <v>203</v>
      </c>
      <c r="B30" s="9" t="s">
        <v>56</v>
      </c>
      <c r="C30" s="9" t="s">
        <v>215</v>
      </c>
      <c r="D30" s="10">
        <f>ROUND(3249000,2)</f>
        <v>3249000</v>
      </c>
      <c r="E30" s="10">
        <f>ROUND(3249000,2)</f>
        <v>3249000</v>
      </c>
      <c r="F30" s="10">
        <f>ROUND(2649000,2)</f>
        <v>2649000</v>
      </c>
      <c r="G30" s="10">
        <f>ROUND(2649000,2)</f>
        <v>2649000</v>
      </c>
      <c r="H30" s="10">
        <f>ROUND(600000,2)</f>
        <v>600000</v>
      </c>
      <c r="I30" s="10">
        <f>ROUND(600000,2)</f>
        <v>600000</v>
      </c>
      <c r="J30" s="10">
        <f t="shared" si="15"/>
        <v>0</v>
      </c>
      <c r="K30" s="10">
        <f t="shared" si="12"/>
        <v>0</v>
      </c>
      <c r="L30" s="10">
        <f t="shared" si="16"/>
        <v>0</v>
      </c>
      <c r="M30" s="10">
        <f t="shared" si="4"/>
        <v>0</v>
      </c>
      <c r="N30" s="10">
        <f t="shared" si="14"/>
        <v>0</v>
      </c>
      <c r="O30" s="10">
        <f t="shared" si="13"/>
        <v>0</v>
      </c>
    </row>
    <row r="31" spans="1:15" ht="38.25">
      <c r="A31" s="2" t="s">
        <v>228</v>
      </c>
      <c r="B31" s="9" t="s">
        <v>98</v>
      </c>
      <c r="C31" s="9" t="s">
        <v>144</v>
      </c>
      <c r="D31" s="10">
        <f>ROUND(900000,2)</f>
        <v>900000</v>
      </c>
      <c r="E31" s="10">
        <f>ROUND(900000,2)</f>
        <v>900000</v>
      </c>
      <c r="F31" s="10">
        <f>ROUND(649000,2)</f>
        <v>649000</v>
      </c>
      <c r="G31" s="10">
        <f>ROUND(649000,2)</f>
        <v>649000</v>
      </c>
      <c r="H31" s="10">
        <f>ROUND(251000,2)</f>
        <v>251000</v>
      </c>
      <c r="I31" s="10">
        <f>ROUND(251000,2)</f>
        <v>251000</v>
      </c>
      <c r="J31" s="10">
        <f t="shared" si="15"/>
        <v>0</v>
      </c>
      <c r="K31" s="10">
        <f t="shared" si="12"/>
        <v>0</v>
      </c>
      <c r="L31" s="10">
        <f t="shared" si="16"/>
        <v>0</v>
      </c>
      <c r="M31" s="10">
        <f t="shared" si="4"/>
        <v>0</v>
      </c>
      <c r="N31" s="10">
        <f t="shared" si="14"/>
        <v>0</v>
      </c>
      <c r="O31" s="10">
        <f t="shared" si="13"/>
        <v>0</v>
      </c>
    </row>
    <row r="32" spans="1:15" ht="38.25">
      <c r="A32" s="2" t="s">
        <v>85</v>
      </c>
      <c r="B32" s="9" t="s">
        <v>126</v>
      </c>
      <c r="C32" s="9" t="s">
        <v>36</v>
      </c>
      <c r="D32" s="10">
        <f>ROUND(9319100,2)</f>
        <v>9319100</v>
      </c>
      <c r="E32" s="10">
        <f>ROUND(9319100,2)</f>
        <v>9319100</v>
      </c>
      <c r="F32" s="10">
        <f>ROUND(9319100,2)</f>
        <v>9319100</v>
      </c>
      <c r="G32" s="10">
        <f>ROUND(9319100,2)</f>
        <v>9319100</v>
      </c>
      <c r="H32" s="10">
        <f>ROUND(0,2)</f>
        <v>0</v>
      </c>
      <c r="I32" s="10">
        <f>ROUND(0,2)</f>
        <v>0</v>
      </c>
      <c r="J32" s="10">
        <f t="shared" si="15"/>
        <v>0</v>
      </c>
      <c r="K32" s="10">
        <f t="shared" si="12"/>
        <v>0</v>
      </c>
      <c r="L32" s="10">
        <f t="shared" si="16"/>
        <v>0</v>
      </c>
      <c r="M32" s="10">
        <f t="shared" si="4"/>
        <v>0</v>
      </c>
      <c r="N32" s="10">
        <f t="shared" si="14"/>
        <v>0</v>
      </c>
      <c r="O32" s="10">
        <f t="shared" si="13"/>
        <v>0</v>
      </c>
    </row>
    <row r="33" spans="1:15" ht="102">
      <c r="A33" s="2" t="s">
        <v>272</v>
      </c>
      <c r="B33" s="9" t="s">
        <v>278</v>
      </c>
      <c r="C33" s="9" t="s">
        <v>113</v>
      </c>
      <c r="D33" s="10">
        <f>ROUND(691000,2)</f>
        <v>691000</v>
      </c>
      <c r="E33" s="10">
        <f>ROUND(691000,2)</f>
        <v>691000</v>
      </c>
      <c r="F33" s="10">
        <f>ROUND(632000,2)</f>
        <v>632000</v>
      </c>
      <c r="G33" s="10">
        <f>ROUND(632000,2)</f>
        <v>632000</v>
      </c>
      <c r="H33" s="10">
        <f>ROUND(59000,2)</f>
        <v>59000</v>
      </c>
      <c r="I33" s="10">
        <f>ROUND(59000,2)</f>
        <v>59000</v>
      </c>
      <c r="J33" s="10">
        <f t="shared" si="15"/>
        <v>0</v>
      </c>
      <c r="K33" s="10">
        <f t="shared" si="12"/>
        <v>0</v>
      </c>
      <c r="L33" s="10">
        <f t="shared" si="16"/>
        <v>0</v>
      </c>
      <c r="M33" s="10">
        <f t="shared" si="4"/>
        <v>0</v>
      </c>
      <c r="N33" s="10">
        <f t="shared" si="14"/>
        <v>0</v>
      </c>
      <c r="O33" s="10">
        <f t="shared" si="13"/>
        <v>0</v>
      </c>
    </row>
    <row r="34" spans="1:15" ht="38.25">
      <c r="A34" s="2" t="s">
        <v>132</v>
      </c>
      <c r="B34" s="9" t="s">
        <v>21</v>
      </c>
      <c r="C34" s="9" t="s">
        <v>283</v>
      </c>
      <c r="D34" s="10">
        <f>ROUND(700000,2)</f>
        <v>700000</v>
      </c>
      <c r="E34" s="10">
        <f>ROUND(700000,2)</f>
        <v>700000</v>
      </c>
      <c r="F34" s="10">
        <f>ROUND(700000,2)</f>
        <v>700000</v>
      </c>
      <c r="G34" s="10">
        <f>ROUND(700000,2)</f>
        <v>700000</v>
      </c>
      <c r="H34" s="10">
        <f aca="true" t="shared" si="17" ref="H34:I37">ROUND(0,2)</f>
        <v>0</v>
      </c>
      <c r="I34" s="10">
        <f t="shared" si="17"/>
        <v>0</v>
      </c>
      <c r="J34" s="10">
        <f t="shared" si="15"/>
        <v>0</v>
      </c>
      <c r="K34" s="10">
        <f t="shared" si="12"/>
        <v>0</v>
      </c>
      <c r="L34" s="10">
        <f t="shared" si="16"/>
        <v>0</v>
      </c>
      <c r="M34" s="10">
        <f t="shared" si="4"/>
        <v>0</v>
      </c>
      <c r="N34" s="10">
        <f t="shared" si="14"/>
        <v>0</v>
      </c>
      <c r="O34" s="10">
        <f t="shared" si="13"/>
        <v>0</v>
      </c>
    </row>
    <row r="35" spans="1:15" ht="63.75">
      <c r="A35" s="2" t="s">
        <v>281</v>
      </c>
      <c r="B35" s="9" t="s">
        <v>105</v>
      </c>
      <c r="C35" s="9" t="s">
        <v>226</v>
      </c>
      <c r="D35" s="10">
        <f>ROUND(2575000,2)</f>
        <v>2575000</v>
      </c>
      <c r="E35" s="10">
        <f>ROUND(2575000,2)</f>
        <v>2575000</v>
      </c>
      <c r="F35" s="10">
        <f>ROUND(2575000,2)</f>
        <v>2575000</v>
      </c>
      <c r="G35" s="10">
        <f>ROUND(2575000,2)</f>
        <v>2575000</v>
      </c>
      <c r="H35" s="10">
        <f t="shared" si="17"/>
        <v>0</v>
      </c>
      <c r="I35" s="10">
        <f t="shared" si="17"/>
        <v>0</v>
      </c>
      <c r="J35" s="10">
        <f>ROUND(630735.33,2)</f>
        <v>630735.33</v>
      </c>
      <c r="K35" s="10">
        <f>ROUND(630735.33,2)</f>
        <v>630735.33</v>
      </c>
      <c r="L35" s="10">
        <f>ROUND(630735.33,2)</f>
        <v>630735.33</v>
      </c>
      <c r="M35" s="10">
        <f>ROUND(630735.33,2)</f>
        <v>630735.33</v>
      </c>
      <c r="N35" s="10">
        <f t="shared" si="14"/>
        <v>0</v>
      </c>
      <c r="O35" s="10">
        <f t="shared" si="13"/>
        <v>0</v>
      </c>
    </row>
    <row r="36" spans="1:15" ht="25.5">
      <c r="A36" s="2" t="s">
        <v>107</v>
      </c>
      <c r="B36" s="9" t="s">
        <v>71</v>
      </c>
      <c r="C36" s="9" t="s">
        <v>47</v>
      </c>
      <c r="D36" s="10">
        <f>ROUND(2166090,2)</f>
        <v>2166090</v>
      </c>
      <c r="E36" s="10">
        <f>ROUND(0,2)</f>
        <v>0</v>
      </c>
      <c r="F36" s="10">
        <f>ROUND(2166090,2)</f>
        <v>2166090</v>
      </c>
      <c r="G36" s="10">
        <f>ROUND(0,2)</f>
        <v>0</v>
      </c>
      <c r="H36" s="10">
        <f t="shared" si="17"/>
        <v>0</v>
      </c>
      <c r="I36" s="10">
        <f t="shared" si="17"/>
        <v>0</v>
      </c>
      <c r="J36" s="10">
        <f aca="true" t="shared" si="18" ref="J36:L39">ROUND(0,2)</f>
        <v>0</v>
      </c>
      <c r="K36" s="10">
        <f t="shared" si="18"/>
        <v>0</v>
      </c>
      <c r="L36" s="10">
        <f t="shared" si="18"/>
        <v>0</v>
      </c>
      <c r="M36" s="10">
        <f>ROUND(0,2)</f>
        <v>0</v>
      </c>
      <c r="N36" s="10">
        <f t="shared" si="14"/>
        <v>0</v>
      </c>
      <c r="O36" s="10">
        <f t="shared" si="13"/>
        <v>0</v>
      </c>
    </row>
    <row r="37" spans="1:15" ht="63.75">
      <c r="A37" s="2" t="s">
        <v>6</v>
      </c>
      <c r="B37" s="9" t="s">
        <v>175</v>
      </c>
      <c r="C37" s="9" t="s">
        <v>10</v>
      </c>
      <c r="D37" s="10">
        <f>ROUND(2166090,2)</f>
        <v>2166090</v>
      </c>
      <c r="E37" s="10">
        <f>ROUND(0,2)</f>
        <v>0</v>
      </c>
      <c r="F37" s="10">
        <f>ROUND(2166090,2)</f>
        <v>2166090</v>
      </c>
      <c r="G37" s="10">
        <f>ROUND(0,2)</f>
        <v>0</v>
      </c>
      <c r="H37" s="10">
        <f t="shared" si="17"/>
        <v>0</v>
      </c>
      <c r="I37" s="10">
        <f t="shared" si="17"/>
        <v>0</v>
      </c>
      <c r="J37" s="10">
        <f t="shared" si="18"/>
        <v>0</v>
      </c>
      <c r="K37" s="10">
        <f t="shared" si="18"/>
        <v>0</v>
      </c>
      <c r="L37" s="10">
        <f t="shared" si="18"/>
        <v>0</v>
      </c>
      <c r="M37" s="10">
        <f>ROUND(0,2)</f>
        <v>0</v>
      </c>
      <c r="N37" s="10">
        <f t="shared" si="14"/>
        <v>0</v>
      </c>
      <c r="O37" s="10">
        <f t="shared" si="13"/>
        <v>0</v>
      </c>
    </row>
    <row r="38" spans="1:15" ht="38.25">
      <c r="A38" s="2" t="s">
        <v>39</v>
      </c>
      <c r="B38" s="9" t="s">
        <v>154</v>
      </c>
      <c r="C38" s="9" t="s">
        <v>145</v>
      </c>
      <c r="D38" s="10">
        <f>ROUND(127300,2)</f>
        <v>127300</v>
      </c>
      <c r="E38" s="10">
        <f>ROUND(123000,2)</f>
        <v>123000</v>
      </c>
      <c r="F38" s="10">
        <f>ROUND(0,2)</f>
        <v>0</v>
      </c>
      <c r="G38" s="10">
        <f>ROUND(0,2)</f>
        <v>0</v>
      </c>
      <c r="H38" s="10">
        <f>ROUND(127300,2)</f>
        <v>127300</v>
      </c>
      <c r="I38" s="10">
        <f>ROUND(123000,2)</f>
        <v>123000</v>
      </c>
      <c r="J38" s="10">
        <f t="shared" si="18"/>
        <v>0</v>
      </c>
      <c r="K38" s="10">
        <f t="shared" si="18"/>
        <v>0</v>
      </c>
      <c r="L38" s="10">
        <f t="shared" si="18"/>
        <v>0</v>
      </c>
      <c r="M38" s="10">
        <f>ROUND(0,2)</f>
        <v>0</v>
      </c>
      <c r="N38" s="10">
        <f t="shared" si="14"/>
        <v>0</v>
      </c>
      <c r="O38" s="10">
        <f t="shared" si="13"/>
        <v>0</v>
      </c>
    </row>
    <row r="39" spans="1:15" ht="114.75">
      <c r="A39" s="2" t="s">
        <v>213</v>
      </c>
      <c r="B39" s="9" t="s">
        <v>172</v>
      </c>
      <c r="C39" s="9" t="s">
        <v>102</v>
      </c>
      <c r="D39" s="10">
        <f>ROUND(127300,2)</f>
        <v>127300</v>
      </c>
      <c r="E39" s="10">
        <f>ROUND(123000,2)</f>
        <v>123000</v>
      </c>
      <c r="F39" s="10">
        <f>ROUND(0,2)</f>
        <v>0</v>
      </c>
      <c r="G39" s="10">
        <f>ROUND(0,2)</f>
        <v>0</v>
      </c>
      <c r="H39" s="10">
        <f>ROUND(127300,2)</f>
        <v>127300</v>
      </c>
      <c r="I39" s="10">
        <f>ROUND(123000,2)</f>
        <v>123000</v>
      </c>
      <c r="J39" s="10">
        <f t="shared" si="18"/>
        <v>0</v>
      </c>
      <c r="K39" s="10">
        <f t="shared" si="18"/>
        <v>0</v>
      </c>
      <c r="L39" s="10">
        <f t="shared" si="18"/>
        <v>0</v>
      </c>
      <c r="M39" s="10">
        <f>ROUND(0,2)</f>
        <v>0</v>
      </c>
      <c r="N39" s="10">
        <f t="shared" si="14"/>
        <v>0</v>
      </c>
      <c r="O39" s="10">
        <f t="shared" si="13"/>
        <v>0</v>
      </c>
    </row>
    <row r="40" spans="1:15" ht="153">
      <c r="A40" s="2" t="s">
        <v>189</v>
      </c>
      <c r="B40" s="9" t="s">
        <v>174</v>
      </c>
      <c r="C40" s="9" t="s">
        <v>50</v>
      </c>
      <c r="D40" s="10">
        <f>ROUND(2730000,2)</f>
        <v>2730000</v>
      </c>
      <c r="E40" s="10">
        <f>ROUND(2730000,2)</f>
        <v>2730000</v>
      </c>
      <c r="F40" s="10">
        <f>ROUND(2730000,2)</f>
        <v>2730000</v>
      </c>
      <c r="G40" s="10">
        <f>ROUND(2730000,2)</f>
        <v>2730000</v>
      </c>
      <c r="H40" s="10">
        <f>ROUND(0,2)</f>
        <v>0</v>
      </c>
      <c r="I40" s="10">
        <f>ROUND(0,2)</f>
        <v>0</v>
      </c>
      <c r="J40" s="10">
        <f>ROUND(682500,2)</f>
        <v>682500</v>
      </c>
      <c r="K40" s="10">
        <f>ROUND(682500,2)</f>
        <v>682500</v>
      </c>
      <c r="L40" s="10">
        <f>ROUND(682500,2)</f>
        <v>682500</v>
      </c>
      <c r="M40" s="10">
        <f>ROUND(682500,2)</f>
        <v>682500</v>
      </c>
      <c r="N40" s="10">
        <f t="shared" si="14"/>
        <v>0</v>
      </c>
      <c r="O40" s="10">
        <f t="shared" si="13"/>
        <v>0</v>
      </c>
    </row>
    <row r="41" spans="1:15" ht="25.5">
      <c r="A41" s="2" t="s">
        <v>187</v>
      </c>
      <c r="B41" s="9" t="s">
        <v>207</v>
      </c>
      <c r="C41" s="9" t="s">
        <v>73</v>
      </c>
      <c r="D41" s="10">
        <f>ROUND(18337506,2)</f>
        <v>18337506</v>
      </c>
      <c r="E41" s="10">
        <f>ROUND(2445450,2)</f>
        <v>2445450</v>
      </c>
      <c r="F41" s="10">
        <f>ROUND(16406415,2)</f>
        <v>16406415</v>
      </c>
      <c r="G41" s="10">
        <f>ROUND(2445450,2)</f>
        <v>2445450</v>
      </c>
      <c r="H41" s="10">
        <f>ROUND(1931091,2)</f>
        <v>1931091</v>
      </c>
      <c r="I41" s="10">
        <f aca="true" t="shared" si="19" ref="I41:I72">ROUND(0,2)</f>
        <v>0</v>
      </c>
      <c r="J41" s="10">
        <f>ROUND(7901828.63,2)</f>
        <v>7901828.63</v>
      </c>
      <c r="K41" s="10">
        <f>ROUND(1139521.28,2)</f>
        <v>1139521.28</v>
      </c>
      <c r="L41" s="10">
        <f>ROUND(6415136.02,2)</f>
        <v>6415136.02</v>
      </c>
      <c r="M41" s="10">
        <f>ROUND(1139521.28,2)</f>
        <v>1139521.28</v>
      </c>
      <c r="N41" s="10">
        <f>ROUND(1486692.61,2)</f>
        <v>1486692.61</v>
      </c>
      <c r="O41" s="10">
        <f t="shared" si="13"/>
        <v>0</v>
      </c>
    </row>
    <row r="42" spans="1:15" ht="38.25">
      <c r="A42" s="2" t="s">
        <v>52</v>
      </c>
      <c r="B42" s="9" t="s">
        <v>202</v>
      </c>
      <c r="C42" s="9" t="s">
        <v>75</v>
      </c>
      <c r="D42" s="10">
        <f>ROUND(3765091,2)</f>
        <v>3765091</v>
      </c>
      <c r="E42" s="10">
        <f>ROUND(0,2)</f>
        <v>0</v>
      </c>
      <c r="F42" s="10">
        <f>ROUND(2000000,2)</f>
        <v>2000000</v>
      </c>
      <c r="G42" s="10">
        <f>ROUND(0,2)</f>
        <v>0</v>
      </c>
      <c r="H42" s="10">
        <f>ROUND(1765091,2)</f>
        <v>1765091</v>
      </c>
      <c r="I42" s="10">
        <f t="shared" si="19"/>
        <v>0</v>
      </c>
      <c r="J42" s="10">
        <f>ROUND(2242978.77,2)</f>
        <v>2242978.77</v>
      </c>
      <c r="K42" s="10">
        <f>ROUND(0,2)</f>
        <v>0</v>
      </c>
      <c r="L42" s="10">
        <f>ROUND(865894.22,2)</f>
        <v>865894.22</v>
      </c>
      <c r="M42" s="10">
        <f>ROUND(0,2)</f>
        <v>0</v>
      </c>
      <c r="N42" s="10">
        <f>ROUND(1377084.55,2)</f>
        <v>1377084.55</v>
      </c>
      <c r="O42" s="10">
        <f t="shared" si="13"/>
        <v>0</v>
      </c>
    </row>
    <row r="43" spans="1:15" ht="102">
      <c r="A43" s="2" t="s">
        <v>250</v>
      </c>
      <c r="B43" s="9" t="s">
        <v>79</v>
      </c>
      <c r="C43" s="9" t="s">
        <v>0</v>
      </c>
      <c r="D43" s="10">
        <f>ROUND(251800,2)</f>
        <v>251800</v>
      </c>
      <c r="E43" s="10">
        <f>ROUND(251800,2)</f>
        <v>251800</v>
      </c>
      <c r="F43" s="10">
        <f>ROUND(251800,2)</f>
        <v>251800</v>
      </c>
      <c r="G43" s="10">
        <f>ROUND(251800,2)</f>
        <v>251800</v>
      </c>
      <c r="H43" s="10">
        <f aca="true" t="shared" si="20" ref="H43:H51">ROUND(0,2)</f>
        <v>0</v>
      </c>
      <c r="I43" s="10">
        <f t="shared" si="19"/>
        <v>0</v>
      </c>
      <c r="J43" s="10">
        <f>ROUND(49621.28,2)</f>
        <v>49621.28</v>
      </c>
      <c r="K43" s="10">
        <f>ROUND(49621.28,2)</f>
        <v>49621.28</v>
      </c>
      <c r="L43" s="10">
        <f>ROUND(49621.28,2)</f>
        <v>49621.28</v>
      </c>
      <c r="M43" s="10">
        <f>ROUND(49621.28,2)</f>
        <v>49621.28</v>
      </c>
      <c r="N43" s="10">
        <f aca="true" t="shared" si="21" ref="N43:N51">ROUND(0,2)</f>
        <v>0</v>
      </c>
      <c r="O43" s="10">
        <f t="shared" si="13"/>
        <v>0</v>
      </c>
    </row>
    <row r="44" spans="1:15" ht="165.75">
      <c r="A44" s="2" t="s">
        <v>289</v>
      </c>
      <c r="B44" s="9" t="s">
        <v>260</v>
      </c>
      <c r="C44" s="9" t="s">
        <v>41</v>
      </c>
      <c r="D44" s="10">
        <f>ROUND(1762000,2)</f>
        <v>1762000</v>
      </c>
      <c r="E44" s="10">
        <f>ROUND(0,2)</f>
        <v>0</v>
      </c>
      <c r="F44" s="10">
        <f>ROUND(1762000,2)</f>
        <v>1762000</v>
      </c>
      <c r="G44" s="10">
        <f>ROUND(0,2)</f>
        <v>0</v>
      </c>
      <c r="H44" s="10">
        <f t="shared" si="20"/>
        <v>0</v>
      </c>
      <c r="I44" s="10">
        <f t="shared" si="19"/>
        <v>0</v>
      </c>
      <c r="J44" s="10">
        <f>ROUND(425758.59,2)</f>
        <v>425758.59</v>
      </c>
      <c r="K44" s="10">
        <f>ROUND(0,2)</f>
        <v>0</v>
      </c>
      <c r="L44" s="10">
        <f>ROUND(425758.59,2)</f>
        <v>425758.59</v>
      </c>
      <c r="M44" s="10">
        <f>ROUND(0,2)</f>
        <v>0</v>
      </c>
      <c r="N44" s="10">
        <f t="shared" si="21"/>
        <v>0</v>
      </c>
      <c r="O44" s="10">
        <f t="shared" si="13"/>
        <v>0</v>
      </c>
    </row>
    <row r="45" spans="1:15" ht="114.75">
      <c r="A45" s="2" t="s">
        <v>115</v>
      </c>
      <c r="B45" s="9" t="s">
        <v>223</v>
      </c>
      <c r="C45" s="9" t="s">
        <v>119</v>
      </c>
      <c r="D45" s="10">
        <f>ROUND(9726000,2)</f>
        <v>9726000</v>
      </c>
      <c r="E45" s="10">
        <f>ROUND(0,2)</f>
        <v>0</v>
      </c>
      <c r="F45" s="10">
        <f>ROUND(9726000,2)</f>
        <v>9726000</v>
      </c>
      <c r="G45" s="10">
        <f>ROUND(0,2)</f>
        <v>0</v>
      </c>
      <c r="H45" s="10">
        <f t="shared" si="20"/>
        <v>0</v>
      </c>
      <c r="I45" s="10">
        <f t="shared" si="19"/>
        <v>0</v>
      </c>
      <c r="J45" s="10">
        <f>ROUND(3300212.39,2)</f>
        <v>3300212.39</v>
      </c>
      <c r="K45" s="10">
        <f>ROUND(0,2)</f>
        <v>0</v>
      </c>
      <c r="L45" s="10">
        <f>ROUND(3300212.39,2)</f>
        <v>3300212.39</v>
      </c>
      <c r="M45" s="10">
        <f>ROUND(0,2)</f>
        <v>0</v>
      </c>
      <c r="N45" s="10">
        <f t="shared" si="21"/>
        <v>0</v>
      </c>
      <c r="O45" s="10">
        <f t="shared" si="13"/>
        <v>0</v>
      </c>
    </row>
    <row r="46" spans="1:15" ht="63.75">
      <c r="A46" s="2" t="s">
        <v>292</v>
      </c>
      <c r="B46" s="9" t="s">
        <v>87</v>
      </c>
      <c r="C46" s="9" t="s">
        <v>142</v>
      </c>
      <c r="D46" s="10">
        <f>ROUND(1362000,2)</f>
        <v>1362000</v>
      </c>
      <c r="E46" s="10">
        <f>ROUND(0,2)</f>
        <v>0</v>
      </c>
      <c r="F46" s="10">
        <f>ROUND(1362000,2)</f>
        <v>1362000</v>
      </c>
      <c r="G46" s="10">
        <f>ROUND(0,2)</f>
        <v>0</v>
      </c>
      <c r="H46" s="10">
        <f t="shared" si="20"/>
        <v>0</v>
      </c>
      <c r="I46" s="10">
        <f t="shared" si="19"/>
        <v>0</v>
      </c>
      <c r="J46" s="10">
        <f>ROUND(499026.78,2)</f>
        <v>499026.78</v>
      </c>
      <c r="K46" s="10">
        <f>ROUND(0,2)</f>
        <v>0</v>
      </c>
      <c r="L46" s="10">
        <f>ROUND(499026.78,2)</f>
        <v>499026.78</v>
      </c>
      <c r="M46" s="10">
        <f>ROUND(0,2)</f>
        <v>0</v>
      </c>
      <c r="N46" s="10">
        <f t="shared" si="21"/>
        <v>0</v>
      </c>
      <c r="O46" s="10">
        <f t="shared" si="13"/>
        <v>0</v>
      </c>
    </row>
    <row r="47" spans="1:15" ht="38.25">
      <c r="A47" s="2" t="s">
        <v>23</v>
      </c>
      <c r="B47" s="9" t="s">
        <v>192</v>
      </c>
      <c r="C47" s="9" t="s">
        <v>247</v>
      </c>
      <c r="D47" s="10">
        <f>ROUND(1488000,2)</f>
        <v>1488000</v>
      </c>
      <c r="E47" s="10">
        <f>ROUND(0,2)</f>
        <v>0</v>
      </c>
      <c r="F47" s="10">
        <f>ROUND(1488000,2)</f>
        <v>1488000</v>
      </c>
      <c r="G47" s="10">
        <f>ROUND(0,2)</f>
        <v>0</v>
      </c>
      <c r="H47" s="10">
        <f t="shared" si="20"/>
        <v>0</v>
      </c>
      <c r="I47" s="10">
        <f t="shared" si="19"/>
        <v>0</v>
      </c>
      <c r="J47" s="10">
        <f>ROUND(528303.61,2)</f>
        <v>528303.61</v>
      </c>
      <c r="K47" s="10">
        <f>ROUND(0,2)</f>
        <v>0</v>
      </c>
      <c r="L47" s="10">
        <f>ROUND(528303.61,2)</f>
        <v>528303.61</v>
      </c>
      <c r="M47" s="10">
        <f>ROUND(0,2)</f>
        <v>0</v>
      </c>
      <c r="N47" s="10">
        <f t="shared" si="21"/>
        <v>0</v>
      </c>
      <c r="O47" s="10">
        <f t="shared" si="13"/>
        <v>0</v>
      </c>
    </row>
    <row r="48" spans="1:15" ht="51">
      <c r="A48" s="2" t="s">
        <v>157</v>
      </c>
      <c r="B48" s="9" t="s">
        <v>67</v>
      </c>
      <c r="C48" s="9" t="s">
        <v>163</v>
      </c>
      <c r="D48" s="10">
        <f>ROUND(6876000,2)</f>
        <v>6876000</v>
      </c>
      <c r="E48" s="10">
        <f>ROUND(0,2)</f>
        <v>0</v>
      </c>
      <c r="F48" s="10">
        <f>ROUND(6876000,2)</f>
        <v>6876000</v>
      </c>
      <c r="G48" s="10">
        <f>ROUND(0,2)</f>
        <v>0</v>
      </c>
      <c r="H48" s="10">
        <f t="shared" si="20"/>
        <v>0</v>
      </c>
      <c r="I48" s="10">
        <f t="shared" si="19"/>
        <v>0</v>
      </c>
      <c r="J48" s="10">
        <f>ROUND(2272882,2)</f>
        <v>2272882</v>
      </c>
      <c r="K48" s="10">
        <f>ROUND(0,2)</f>
        <v>0</v>
      </c>
      <c r="L48" s="10">
        <f>ROUND(2272882,2)</f>
        <v>2272882</v>
      </c>
      <c r="M48" s="10">
        <f>ROUND(0,2)</f>
        <v>0</v>
      </c>
      <c r="N48" s="10">
        <f t="shared" si="21"/>
        <v>0</v>
      </c>
      <c r="O48" s="10">
        <f t="shared" si="13"/>
        <v>0</v>
      </c>
    </row>
    <row r="49" spans="1:15" ht="51">
      <c r="A49" s="2" t="s">
        <v>84</v>
      </c>
      <c r="B49" s="9" t="s">
        <v>294</v>
      </c>
      <c r="C49" s="9" t="s">
        <v>54</v>
      </c>
      <c r="D49" s="10">
        <f aca="true" t="shared" si="22" ref="D49:G51">ROUND(2193650,2)</f>
        <v>2193650</v>
      </c>
      <c r="E49" s="10">
        <f t="shared" si="22"/>
        <v>2193650</v>
      </c>
      <c r="F49" s="10">
        <f t="shared" si="22"/>
        <v>2193650</v>
      </c>
      <c r="G49" s="10">
        <f t="shared" si="22"/>
        <v>2193650</v>
      </c>
      <c r="H49" s="10">
        <f t="shared" si="20"/>
        <v>0</v>
      </c>
      <c r="I49" s="10">
        <f t="shared" si="19"/>
        <v>0</v>
      </c>
      <c r="J49" s="10">
        <f aca="true" t="shared" si="23" ref="J49:L51">ROUND(1089900,2)</f>
        <v>1089900</v>
      </c>
      <c r="K49" s="10">
        <f t="shared" si="23"/>
        <v>1089900</v>
      </c>
      <c r="L49" s="10">
        <f t="shared" si="23"/>
        <v>1089900</v>
      </c>
      <c r="M49" s="10">
        <f>ROUND(1089900,2)</f>
        <v>1089900</v>
      </c>
      <c r="N49" s="10">
        <f t="shared" si="21"/>
        <v>0</v>
      </c>
      <c r="O49" s="10">
        <f t="shared" si="13"/>
        <v>0</v>
      </c>
    </row>
    <row r="50" spans="1:15" ht="114.75">
      <c r="A50" s="2" t="s">
        <v>277</v>
      </c>
      <c r="B50" s="9" t="s">
        <v>123</v>
      </c>
      <c r="C50" s="9" t="s">
        <v>204</v>
      </c>
      <c r="D50" s="10">
        <f t="shared" si="22"/>
        <v>2193650</v>
      </c>
      <c r="E50" s="10">
        <f t="shared" si="22"/>
        <v>2193650</v>
      </c>
      <c r="F50" s="10">
        <f t="shared" si="22"/>
        <v>2193650</v>
      </c>
      <c r="G50" s="10">
        <f t="shared" si="22"/>
        <v>2193650</v>
      </c>
      <c r="H50" s="10">
        <f t="shared" si="20"/>
        <v>0</v>
      </c>
      <c r="I50" s="10">
        <f t="shared" si="19"/>
        <v>0</v>
      </c>
      <c r="J50" s="10">
        <f t="shared" si="23"/>
        <v>1089900</v>
      </c>
      <c r="K50" s="10">
        <f t="shared" si="23"/>
        <v>1089900</v>
      </c>
      <c r="L50" s="10">
        <f t="shared" si="23"/>
        <v>1089900</v>
      </c>
      <c r="M50" s="10">
        <f>ROUND(1089900,2)</f>
        <v>1089900</v>
      </c>
      <c r="N50" s="10">
        <f t="shared" si="21"/>
        <v>0</v>
      </c>
      <c r="O50" s="10">
        <f t="shared" si="13"/>
        <v>0</v>
      </c>
    </row>
    <row r="51" spans="1:15" ht="38.25">
      <c r="A51" s="2" t="s">
        <v>176</v>
      </c>
      <c r="B51" s="9" t="s">
        <v>30</v>
      </c>
      <c r="C51" s="9" t="s">
        <v>220</v>
      </c>
      <c r="D51" s="10">
        <f t="shared" si="22"/>
        <v>2193650</v>
      </c>
      <c r="E51" s="10">
        <f t="shared" si="22"/>
        <v>2193650</v>
      </c>
      <c r="F51" s="10">
        <f t="shared" si="22"/>
        <v>2193650</v>
      </c>
      <c r="G51" s="10">
        <f t="shared" si="22"/>
        <v>2193650</v>
      </c>
      <c r="H51" s="10">
        <f t="shared" si="20"/>
        <v>0</v>
      </c>
      <c r="I51" s="10">
        <f t="shared" si="19"/>
        <v>0</v>
      </c>
      <c r="J51" s="10">
        <f t="shared" si="23"/>
        <v>1089900</v>
      </c>
      <c r="K51" s="10">
        <f t="shared" si="23"/>
        <v>1089900</v>
      </c>
      <c r="L51" s="10">
        <f t="shared" si="23"/>
        <v>1089900</v>
      </c>
      <c r="M51" s="10">
        <f>ROUND(1089900,2)</f>
        <v>1089900</v>
      </c>
      <c r="N51" s="10">
        <f t="shared" si="21"/>
        <v>0</v>
      </c>
      <c r="O51" s="10">
        <f t="shared" si="13"/>
        <v>0</v>
      </c>
    </row>
    <row r="52" spans="1:15" ht="51">
      <c r="A52" s="2" t="s">
        <v>96</v>
      </c>
      <c r="B52" s="9" t="s">
        <v>217</v>
      </c>
      <c r="C52" s="9" t="s">
        <v>266</v>
      </c>
      <c r="D52" s="10">
        <f>ROUND(583959579.99,2)</f>
        <v>583959579.99</v>
      </c>
      <c r="E52" s="10">
        <f aca="true" t="shared" si="24" ref="E52:E83">ROUND(0,2)</f>
        <v>0</v>
      </c>
      <c r="F52" s="10">
        <f>ROUND(538179301.99,2)</f>
        <v>538179301.99</v>
      </c>
      <c r="G52" s="10">
        <f aca="true" t="shared" si="25" ref="G52:G83">ROUND(0,2)</f>
        <v>0</v>
      </c>
      <c r="H52" s="10">
        <f>ROUND(45780278,2)</f>
        <v>45780278</v>
      </c>
      <c r="I52" s="10">
        <f t="shared" si="19"/>
        <v>0</v>
      </c>
      <c r="J52" s="10">
        <f>ROUND(56751911.73,2)</f>
        <v>56751911.73</v>
      </c>
      <c r="K52" s="10">
        <f aca="true" t="shared" si="26" ref="K52:K57">ROUND(0,2)</f>
        <v>0</v>
      </c>
      <c r="L52" s="10">
        <f>ROUND(48579333.81,2)</f>
        <v>48579333.81</v>
      </c>
      <c r="M52" s="10">
        <f aca="true" t="shared" si="27" ref="M52:M57">ROUND(0,2)</f>
        <v>0</v>
      </c>
      <c r="N52" s="10">
        <f>ROUND(8172577.92,2)</f>
        <v>8172577.92</v>
      </c>
      <c r="O52" s="10">
        <f t="shared" si="13"/>
        <v>0</v>
      </c>
    </row>
    <row r="53" spans="1:15" ht="51">
      <c r="A53" s="2" t="s">
        <v>234</v>
      </c>
      <c r="B53" s="9" t="s">
        <v>91</v>
      </c>
      <c r="C53" s="9" t="s">
        <v>143</v>
      </c>
      <c r="D53" s="10">
        <f>ROUND(386328788.46,2)</f>
        <v>386328788.46</v>
      </c>
      <c r="E53" s="10">
        <f t="shared" si="24"/>
        <v>0</v>
      </c>
      <c r="F53" s="10">
        <f>ROUND(385642788.46,2)</f>
        <v>385642788.46</v>
      </c>
      <c r="G53" s="10">
        <f t="shared" si="25"/>
        <v>0</v>
      </c>
      <c r="H53" s="10">
        <f>ROUND(686000,2)</f>
        <v>686000</v>
      </c>
      <c r="I53" s="10">
        <f t="shared" si="19"/>
        <v>0</v>
      </c>
      <c r="J53" s="10">
        <f>ROUND(9735466.76,2)</f>
        <v>9735466.76</v>
      </c>
      <c r="K53" s="10">
        <f t="shared" si="26"/>
        <v>0</v>
      </c>
      <c r="L53" s="10">
        <f>ROUND(9550276.93,2)</f>
        <v>9550276.93</v>
      </c>
      <c r="M53" s="10">
        <f t="shared" si="27"/>
        <v>0</v>
      </c>
      <c r="N53" s="10">
        <f>ROUND(185189.83,2)</f>
        <v>185189.83</v>
      </c>
      <c r="O53" s="10">
        <f t="shared" si="13"/>
        <v>0</v>
      </c>
    </row>
    <row r="54" spans="1:15" ht="25.5">
      <c r="A54" s="2" t="s">
        <v>275</v>
      </c>
      <c r="B54" s="9" t="s">
        <v>156</v>
      </c>
      <c r="C54" s="9" t="s">
        <v>164</v>
      </c>
      <c r="D54" s="10">
        <f aca="true" t="shared" si="28" ref="D54:D72">ROUND(0,2)</f>
        <v>0</v>
      </c>
      <c r="E54" s="10">
        <f t="shared" si="24"/>
        <v>0</v>
      </c>
      <c r="F54" s="10">
        <f aca="true" t="shared" si="29" ref="F54:F72">ROUND(0,2)</f>
        <v>0</v>
      </c>
      <c r="G54" s="10">
        <f t="shared" si="25"/>
        <v>0</v>
      </c>
      <c r="H54" s="10">
        <f aca="true" t="shared" si="30" ref="H54:H72">ROUND(0,2)</f>
        <v>0</v>
      </c>
      <c r="I54" s="10">
        <f t="shared" si="19"/>
        <v>0</v>
      </c>
      <c r="J54" s="10">
        <f>ROUND(58105419.63,2)</f>
        <v>58105419.63</v>
      </c>
      <c r="K54" s="10">
        <f t="shared" si="26"/>
        <v>0</v>
      </c>
      <c r="L54" s="10">
        <f>ROUND(54867969.63,2)</f>
        <v>54867969.63</v>
      </c>
      <c r="M54" s="10">
        <f t="shared" si="27"/>
        <v>0</v>
      </c>
      <c r="N54" s="10">
        <f>ROUND(3237450,2)</f>
        <v>3237450</v>
      </c>
      <c r="O54" s="10">
        <f t="shared" si="13"/>
        <v>0</v>
      </c>
    </row>
    <row r="55" spans="1:15" ht="89.25">
      <c r="A55" s="2" t="s">
        <v>218</v>
      </c>
      <c r="B55" s="9" t="s">
        <v>13</v>
      </c>
      <c r="C55" s="9" t="s">
        <v>195</v>
      </c>
      <c r="D55" s="10">
        <f t="shared" si="28"/>
        <v>0</v>
      </c>
      <c r="E55" s="10">
        <f t="shared" si="24"/>
        <v>0</v>
      </c>
      <c r="F55" s="10">
        <f t="shared" si="29"/>
        <v>0</v>
      </c>
      <c r="G55" s="10">
        <f t="shared" si="25"/>
        <v>0</v>
      </c>
      <c r="H55" s="10">
        <f t="shared" si="30"/>
        <v>0</v>
      </c>
      <c r="I55" s="10">
        <f t="shared" si="19"/>
        <v>0</v>
      </c>
      <c r="J55" s="10">
        <f>ROUND(58105419.63,2)</f>
        <v>58105419.63</v>
      </c>
      <c r="K55" s="10">
        <f t="shared" si="26"/>
        <v>0</v>
      </c>
      <c r="L55" s="10">
        <f>ROUND(54867969.63,2)</f>
        <v>54867969.63</v>
      </c>
      <c r="M55" s="10">
        <f t="shared" si="27"/>
        <v>0</v>
      </c>
      <c r="N55" s="10">
        <f>ROUND(3237450,2)</f>
        <v>3237450</v>
      </c>
      <c r="O55" s="10">
        <f t="shared" si="13"/>
        <v>0</v>
      </c>
    </row>
    <row r="56" spans="1:15" ht="76.5">
      <c r="A56" s="2" t="s">
        <v>284</v>
      </c>
      <c r="B56" s="9" t="s">
        <v>104</v>
      </c>
      <c r="C56" s="9" t="s">
        <v>214</v>
      </c>
      <c r="D56" s="10">
        <f t="shared" si="28"/>
        <v>0</v>
      </c>
      <c r="E56" s="10">
        <f t="shared" si="24"/>
        <v>0</v>
      </c>
      <c r="F56" s="10">
        <f t="shared" si="29"/>
        <v>0</v>
      </c>
      <c r="G56" s="10">
        <f t="shared" si="25"/>
        <v>0</v>
      </c>
      <c r="H56" s="10">
        <f t="shared" si="30"/>
        <v>0</v>
      </c>
      <c r="I56" s="10">
        <f t="shared" si="19"/>
        <v>0</v>
      </c>
      <c r="J56" s="10">
        <f>ROUND(54867969.63,2)</f>
        <v>54867969.63</v>
      </c>
      <c r="K56" s="10">
        <f t="shared" si="26"/>
        <v>0</v>
      </c>
      <c r="L56" s="10">
        <f>ROUND(54867969.63,2)</f>
        <v>54867969.63</v>
      </c>
      <c r="M56" s="10">
        <f t="shared" si="27"/>
        <v>0</v>
      </c>
      <c r="N56" s="10">
        <f>ROUND(0,2)</f>
        <v>0</v>
      </c>
      <c r="O56" s="10">
        <f t="shared" si="13"/>
        <v>0</v>
      </c>
    </row>
    <row r="57" spans="1:15" ht="51">
      <c r="A57" s="2" t="s">
        <v>106</v>
      </c>
      <c r="B57" s="9" t="s">
        <v>282</v>
      </c>
      <c r="C57" s="9" t="s">
        <v>242</v>
      </c>
      <c r="D57" s="10">
        <f t="shared" si="28"/>
        <v>0</v>
      </c>
      <c r="E57" s="10">
        <f t="shared" si="24"/>
        <v>0</v>
      </c>
      <c r="F57" s="10">
        <f t="shared" si="29"/>
        <v>0</v>
      </c>
      <c r="G57" s="10">
        <f t="shared" si="25"/>
        <v>0</v>
      </c>
      <c r="H57" s="10">
        <f t="shared" si="30"/>
        <v>0</v>
      </c>
      <c r="I57" s="10">
        <f t="shared" si="19"/>
        <v>0</v>
      </c>
      <c r="J57" s="10">
        <f>ROUND(3237450,2)</f>
        <v>3237450</v>
      </c>
      <c r="K57" s="10">
        <f t="shared" si="26"/>
        <v>0</v>
      </c>
      <c r="L57" s="10">
        <f>ROUND(0,2)</f>
        <v>0</v>
      </c>
      <c r="M57" s="10">
        <f t="shared" si="27"/>
        <v>0</v>
      </c>
      <c r="N57" s="10">
        <f>ROUND(3237450,2)</f>
        <v>3237450</v>
      </c>
      <c r="O57" s="10">
        <f t="shared" si="13"/>
        <v>0</v>
      </c>
    </row>
    <row r="58" spans="1:15" ht="38.25">
      <c r="A58" s="2" t="s">
        <v>9</v>
      </c>
      <c r="B58" s="9" t="s">
        <v>64</v>
      </c>
      <c r="C58" s="9" t="s">
        <v>34</v>
      </c>
      <c r="D58" s="10">
        <f t="shared" si="28"/>
        <v>0</v>
      </c>
      <c r="E58" s="10">
        <f t="shared" si="24"/>
        <v>0</v>
      </c>
      <c r="F58" s="10">
        <f t="shared" si="29"/>
        <v>0</v>
      </c>
      <c r="G58" s="10">
        <f t="shared" si="25"/>
        <v>0</v>
      </c>
      <c r="H58" s="10">
        <f t="shared" si="30"/>
        <v>0</v>
      </c>
      <c r="I58" s="10">
        <f t="shared" si="19"/>
        <v>0</v>
      </c>
      <c r="J58" s="10">
        <f>ROUND(58412465.3,2)</f>
        <v>58412465.3</v>
      </c>
      <c r="K58" s="10">
        <f>ROUND(6094339.12,2)</f>
        <v>6094339.12</v>
      </c>
      <c r="L58" s="10">
        <f>ROUND(41034221.87,2)</f>
        <v>41034221.87</v>
      </c>
      <c r="M58" s="10">
        <f>ROUND(4754972.32,2)</f>
        <v>4754972.32</v>
      </c>
      <c r="N58" s="10">
        <f>ROUND(17378243.43,2)</f>
        <v>17378243.43</v>
      </c>
      <c r="O58" s="10">
        <f>ROUND(1339366.8,2)</f>
        <v>1339366.8</v>
      </c>
    </row>
    <row r="59" spans="1:15" ht="38.25">
      <c r="A59" s="2" t="s">
        <v>117</v>
      </c>
      <c r="B59" s="9" t="s">
        <v>181</v>
      </c>
      <c r="C59" s="9" t="s">
        <v>148</v>
      </c>
      <c r="D59" s="10">
        <f t="shared" si="28"/>
        <v>0</v>
      </c>
      <c r="E59" s="10">
        <f t="shared" si="24"/>
        <v>0</v>
      </c>
      <c r="F59" s="10">
        <f t="shared" si="29"/>
        <v>0</v>
      </c>
      <c r="G59" s="10">
        <f t="shared" si="25"/>
        <v>0</v>
      </c>
      <c r="H59" s="10">
        <f t="shared" si="30"/>
        <v>0</v>
      </c>
      <c r="I59" s="10">
        <f t="shared" si="19"/>
        <v>0</v>
      </c>
      <c r="J59" s="10">
        <f>ROUND(44308609.3,2)</f>
        <v>44308609.3</v>
      </c>
      <c r="K59" s="10">
        <f>ROUND(6094339.12,2)</f>
        <v>6094339.12</v>
      </c>
      <c r="L59" s="10">
        <f>ROUND(39103071.32,2)</f>
        <v>39103071.32</v>
      </c>
      <c r="M59" s="10">
        <f>ROUND(4754972.32,2)</f>
        <v>4754972.32</v>
      </c>
      <c r="N59" s="10">
        <f>ROUND(5205537.98,2)</f>
        <v>5205537.98</v>
      </c>
      <c r="O59" s="10">
        <f>ROUND(1339366.8,2)</f>
        <v>1339366.8</v>
      </c>
    </row>
    <row r="60" spans="1:15" ht="38.25">
      <c r="A60" s="2" t="s">
        <v>60</v>
      </c>
      <c r="B60" s="9" t="s">
        <v>271</v>
      </c>
      <c r="C60" s="9" t="s">
        <v>135</v>
      </c>
      <c r="D60" s="10">
        <f t="shared" si="28"/>
        <v>0</v>
      </c>
      <c r="E60" s="10">
        <f t="shared" si="24"/>
        <v>0</v>
      </c>
      <c r="F60" s="10">
        <f t="shared" si="29"/>
        <v>0</v>
      </c>
      <c r="G60" s="10">
        <f t="shared" si="25"/>
        <v>0</v>
      </c>
      <c r="H60" s="10">
        <f t="shared" si="30"/>
        <v>0</v>
      </c>
      <c r="I60" s="10">
        <f t="shared" si="19"/>
        <v>0</v>
      </c>
      <c r="J60" s="10">
        <f>ROUND(3803819.54,2)</f>
        <v>3803819.54</v>
      </c>
      <c r="K60" s="10">
        <f aca="true" t="shared" si="31" ref="K60:K103">ROUND(0,2)</f>
        <v>0</v>
      </c>
      <c r="L60" s="10">
        <f>ROUND(542468.44,2)</f>
        <v>542468.44</v>
      </c>
      <c r="M60" s="10">
        <f aca="true" t="shared" si="32" ref="M60:M103">ROUND(0,2)</f>
        <v>0</v>
      </c>
      <c r="N60" s="10">
        <f>ROUND(3261351.1,2)</f>
        <v>3261351.1</v>
      </c>
      <c r="O60" s="10">
        <f aca="true" t="shared" si="33" ref="O60:O103">ROUND(0,2)</f>
        <v>0</v>
      </c>
    </row>
    <row r="61" spans="1:15" ht="76.5">
      <c r="A61" s="2" t="s">
        <v>184</v>
      </c>
      <c r="B61" s="9" t="s">
        <v>130</v>
      </c>
      <c r="C61" s="9" t="s">
        <v>225</v>
      </c>
      <c r="D61" s="10">
        <f t="shared" si="28"/>
        <v>0</v>
      </c>
      <c r="E61" s="10">
        <f t="shared" si="24"/>
        <v>0</v>
      </c>
      <c r="F61" s="10">
        <f t="shared" si="29"/>
        <v>0</v>
      </c>
      <c r="G61" s="10">
        <f t="shared" si="25"/>
        <v>0</v>
      </c>
      <c r="H61" s="10">
        <f t="shared" si="30"/>
        <v>0</v>
      </c>
      <c r="I61" s="10">
        <f t="shared" si="19"/>
        <v>0</v>
      </c>
      <c r="J61" s="10">
        <f>ROUND(1247085.92,2)</f>
        <v>1247085.92</v>
      </c>
      <c r="K61" s="10">
        <f t="shared" si="31"/>
        <v>0</v>
      </c>
      <c r="L61" s="10">
        <f>ROUND(94179.92,2)</f>
        <v>94179.92</v>
      </c>
      <c r="M61" s="10">
        <f t="shared" si="32"/>
        <v>0</v>
      </c>
      <c r="N61" s="10">
        <f>ROUND(1152906,2)</f>
        <v>1152906</v>
      </c>
      <c r="O61" s="10">
        <f t="shared" si="33"/>
        <v>0</v>
      </c>
    </row>
    <row r="62" spans="1:15" ht="25.5">
      <c r="A62" s="2" t="s">
        <v>146</v>
      </c>
      <c r="B62" s="9" t="s">
        <v>124</v>
      </c>
      <c r="C62" s="9" t="s">
        <v>58</v>
      </c>
      <c r="D62" s="10">
        <f t="shared" si="28"/>
        <v>0</v>
      </c>
      <c r="E62" s="10">
        <f t="shared" si="24"/>
        <v>0</v>
      </c>
      <c r="F62" s="10">
        <f t="shared" si="29"/>
        <v>0</v>
      </c>
      <c r="G62" s="10">
        <f t="shared" si="25"/>
        <v>0</v>
      </c>
      <c r="H62" s="10">
        <f t="shared" si="30"/>
        <v>0</v>
      </c>
      <c r="I62" s="10">
        <f t="shared" si="19"/>
        <v>0</v>
      </c>
      <c r="J62" s="10">
        <f>ROUND(7939357.72,2)</f>
        <v>7939357.72</v>
      </c>
      <c r="K62" s="10">
        <f t="shared" si="31"/>
        <v>0</v>
      </c>
      <c r="L62" s="10">
        <f>ROUND(3844255.96,2)</f>
        <v>3844255.96</v>
      </c>
      <c r="M62" s="10">
        <f t="shared" si="32"/>
        <v>0</v>
      </c>
      <c r="N62" s="10">
        <f>ROUND(4095101.76,2)</f>
        <v>4095101.76</v>
      </c>
      <c r="O62" s="10">
        <f t="shared" si="33"/>
        <v>0</v>
      </c>
    </row>
    <row r="63" spans="1:15" ht="191.25">
      <c r="A63" s="2" t="s">
        <v>26</v>
      </c>
      <c r="B63" s="9" t="s">
        <v>259</v>
      </c>
      <c r="C63" s="9" t="s">
        <v>125</v>
      </c>
      <c r="D63" s="10">
        <f t="shared" si="28"/>
        <v>0</v>
      </c>
      <c r="E63" s="10">
        <f t="shared" si="24"/>
        <v>0</v>
      </c>
      <c r="F63" s="10">
        <f t="shared" si="29"/>
        <v>0</v>
      </c>
      <c r="G63" s="10">
        <f t="shared" si="25"/>
        <v>0</v>
      </c>
      <c r="H63" s="10">
        <f t="shared" si="30"/>
        <v>0</v>
      </c>
      <c r="I63" s="10">
        <f t="shared" si="19"/>
        <v>0</v>
      </c>
      <c r="J63" s="10">
        <f>ROUND(179199.75,2)</f>
        <v>179199.75</v>
      </c>
      <c r="K63" s="10">
        <f t="shared" si="31"/>
        <v>0</v>
      </c>
      <c r="L63" s="10">
        <f>ROUND(0,2)</f>
        <v>0</v>
      </c>
      <c r="M63" s="10">
        <f t="shared" si="32"/>
        <v>0</v>
      </c>
      <c r="N63" s="10">
        <f>ROUND(179199.75,2)</f>
        <v>179199.75</v>
      </c>
      <c r="O63" s="10">
        <f t="shared" si="33"/>
        <v>0</v>
      </c>
    </row>
    <row r="64" spans="1:15" ht="127.5">
      <c r="A64" s="2" t="s">
        <v>162</v>
      </c>
      <c r="B64" s="9" t="s">
        <v>24</v>
      </c>
      <c r="C64" s="9" t="s">
        <v>265</v>
      </c>
      <c r="D64" s="10">
        <f t="shared" si="28"/>
        <v>0</v>
      </c>
      <c r="E64" s="10">
        <f t="shared" si="24"/>
        <v>0</v>
      </c>
      <c r="F64" s="10">
        <f t="shared" si="29"/>
        <v>0</v>
      </c>
      <c r="G64" s="10">
        <f t="shared" si="25"/>
        <v>0</v>
      </c>
      <c r="H64" s="10">
        <f t="shared" si="30"/>
        <v>0</v>
      </c>
      <c r="I64" s="10">
        <f t="shared" si="19"/>
        <v>0</v>
      </c>
      <c r="J64" s="10">
        <f>ROUND(993726.1,2)</f>
        <v>993726.1</v>
      </c>
      <c r="K64" s="10">
        <f t="shared" si="31"/>
        <v>0</v>
      </c>
      <c r="L64" s="10">
        <f>ROUND(0,2)</f>
        <v>0</v>
      </c>
      <c r="M64" s="10">
        <f t="shared" si="32"/>
        <v>0</v>
      </c>
      <c r="N64" s="10">
        <f>ROUND(993726.1,2)</f>
        <v>993726.1</v>
      </c>
      <c r="O64" s="10">
        <f t="shared" si="33"/>
        <v>0</v>
      </c>
    </row>
    <row r="65" spans="1:15" ht="204">
      <c r="A65" s="2" t="s">
        <v>262</v>
      </c>
      <c r="B65" s="9" t="s">
        <v>155</v>
      </c>
      <c r="C65" s="9" t="s">
        <v>70</v>
      </c>
      <c r="D65" s="10">
        <f t="shared" si="28"/>
        <v>0</v>
      </c>
      <c r="E65" s="10">
        <f t="shared" si="24"/>
        <v>0</v>
      </c>
      <c r="F65" s="10">
        <f t="shared" si="29"/>
        <v>0</v>
      </c>
      <c r="G65" s="10">
        <f t="shared" si="25"/>
        <v>0</v>
      </c>
      <c r="H65" s="10">
        <f t="shared" si="30"/>
        <v>0</v>
      </c>
      <c r="I65" s="10">
        <f t="shared" si="19"/>
        <v>0</v>
      </c>
      <c r="J65" s="10">
        <f>ROUND(937633.16,2)</f>
        <v>937633.16</v>
      </c>
      <c r="K65" s="10">
        <f t="shared" si="31"/>
        <v>0</v>
      </c>
      <c r="L65" s="10">
        <f>ROUND(288213.82,2)</f>
        <v>288213.82</v>
      </c>
      <c r="M65" s="10">
        <f t="shared" si="32"/>
        <v>0</v>
      </c>
      <c r="N65" s="10">
        <f>ROUND(649419.34,2)</f>
        <v>649419.34</v>
      </c>
      <c r="O65" s="10">
        <f t="shared" si="33"/>
        <v>0</v>
      </c>
    </row>
    <row r="66" spans="1:15" ht="114.75">
      <c r="A66" s="2" t="s">
        <v>122</v>
      </c>
      <c r="B66" s="9" t="s">
        <v>190</v>
      </c>
      <c r="C66" s="9" t="s">
        <v>131</v>
      </c>
      <c r="D66" s="10">
        <f t="shared" si="28"/>
        <v>0</v>
      </c>
      <c r="E66" s="10">
        <f t="shared" si="24"/>
        <v>0</v>
      </c>
      <c r="F66" s="10">
        <f t="shared" si="29"/>
        <v>0</v>
      </c>
      <c r="G66" s="10">
        <f t="shared" si="25"/>
        <v>0</v>
      </c>
      <c r="H66" s="10">
        <f t="shared" si="30"/>
        <v>0</v>
      </c>
      <c r="I66" s="10">
        <f t="shared" si="19"/>
        <v>0</v>
      </c>
      <c r="J66" s="10">
        <f>ROUND(82094.62,2)</f>
        <v>82094.62</v>
      </c>
      <c r="K66" s="10">
        <f t="shared" si="31"/>
        <v>0</v>
      </c>
      <c r="L66" s="10">
        <f>ROUND(30000,2)</f>
        <v>30000</v>
      </c>
      <c r="M66" s="10">
        <f t="shared" si="32"/>
        <v>0</v>
      </c>
      <c r="N66" s="10">
        <f>ROUND(52094.62,2)</f>
        <v>52094.62</v>
      </c>
      <c r="O66" s="10">
        <f t="shared" si="33"/>
        <v>0</v>
      </c>
    </row>
    <row r="67" spans="1:15" ht="51">
      <c r="A67" s="2" t="s">
        <v>229</v>
      </c>
      <c r="B67" s="9" t="s">
        <v>72</v>
      </c>
      <c r="C67" s="9" t="s">
        <v>158</v>
      </c>
      <c r="D67" s="10">
        <f t="shared" si="28"/>
        <v>0</v>
      </c>
      <c r="E67" s="10">
        <f t="shared" si="24"/>
        <v>0</v>
      </c>
      <c r="F67" s="10">
        <f t="shared" si="29"/>
        <v>0</v>
      </c>
      <c r="G67" s="10">
        <f t="shared" si="25"/>
        <v>0</v>
      </c>
      <c r="H67" s="10">
        <f t="shared" si="30"/>
        <v>0</v>
      </c>
      <c r="I67" s="10">
        <f t="shared" si="19"/>
        <v>0</v>
      </c>
      <c r="J67" s="10">
        <f>ROUND(68757.84,2)</f>
        <v>68757.84</v>
      </c>
      <c r="K67" s="10">
        <f t="shared" si="31"/>
        <v>0</v>
      </c>
      <c r="L67" s="10">
        <f>ROUND(21359.28,2)</f>
        <v>21359.28</v>
      </c>
      <c r="M67" s="10">
        <f t="shared" si="32"/>
        <v>0</v>
      </c>
      <c r="N67" s="10">
        <f>ROUND(47398.56,2)</f>
        <v>47398.56</v>
      </c>
      <c r="O67" s="10">
        <f t="shared" si="33"/>
        <v>0</v>
      </c>
    </row>
    <row r="68" spans="1:15" ht="25.5">
      <c r="A68" s="2" t="s">
        <v>99</v>
      </c>
      <c r="B68" s="9" t="s">
        <v>227</v>
      </c>
      <c r="C68" s="9" t="s">
        <v>69</v>
      </c>
      <c r="D68" s="10">
        <f t="shared" si="28"/>
        <v>0</v>
      </c>
      <c r="E68" s="10">
        <f t="shared" si="24"/>
        <v>0</v>
      </c>
      <c r="F68" s="10">
        <f t="shared" si="29"/>
        <v>0</v>
      </c>
      <c r="G68" s="10">
        <f t="shared" si="25"/>
        <v>0</v>
      </c>
      <c r="H68" s="10">
        <f t="shared" si="30"/>
        <v>0</v>
      </c>
      <c r="I68" s="10">
        <f t="shared" si="19"/>
        <v>0</v>
      </c>
      <c r="J68" s="10">
        <f>ROUND(48656.54,2)</f>
        <v>48656.54</v>
      </c>
      <c r="K68" s="10">
        <f t="shared" si="31"/>
        <v>0</v>
      </c>
      <c r="L68" s="10">
        <f>ROUND(28430.97,2)</f>
        <v>28430.97</v>
      </c>
      <c r="M68" s="10">
        <f t="shared" si="32"/>
        <v>0</v>
      </c>
      <c r="N68" s="10">
        <f>ROUND(20225.57,2)</f>
        <v>20225.57</v>
      </c>
      <c r="O68" s="10">
        <f t="shared" si="33"/>
        <v>0</v>
      </c>
    </row>
    <row r="69" spans="1:15" ht="38.25">
      <c r="A69" s="2" t="s">
        <v>114</v>
      </c>
      <c r="B69" s="9" t="s">
        <v>231</v>
      </c>
      <c r="C69" s="9" t="s">
        <v>287</v>
      </c>
      <c r="D69" s="10">
        <f t="shared" si="28"/>
        <v>0</v>
      </c>
      <c r="E69" s="10">
        <f t="shared" si="24"/>
        <v>0</v>
      </c>
      <c r="F69" s="10">
        <f t="shared" si="29"/>
        <v>0</v>
      </c>
      <c r="G69" s="10">
        <f t="shared" si="25"/>
        <v>0</v>
      </c>
      <c r="H69" s="10">
        <f t="shared" si="30"/>
        <v>0</v>
      </c>
      <c r="I69" s="10">
        <f t="shared" si="19"/>
        <v>0</v>
      </c>
      <c r="J69" s="10">
        <f>ROUND(311188.42,2)</f>
        <v>311188.42</v>
      </c>
      <c r="K69" s="10">
        <f t="shared" si="31"/>
        <v>0</v>
      </c>
      <c r="L69" s="10">
        <f>ROUND(0,2)</f>
        <v>0</v>
      </c>
      <c r="M69" s="10">
        <f t="shared" si="32"/>
        <v>0</v>
      </c>
      <c r="N69" s="10">
        <f>ROUND(311188.42,2)</f>
        <v>311188.42</v>
      </c>
      <c r="O69" s="10">
        <f t="shared" si="33"/>
        <v>0</v>
      </c>
    </row>
    <row r="70" spans="1:15" ht="25.5">
      <c r="A70" s="2" t="s">
        <v>240</v>
      </c>
      <c r="B70" s="9" t="s">
        <v>167</v>
      </c>
      <c r="C70" s="9" t="s">
        <v>201</v>
      </c>
      <c r="D70" s="10">
        <f t="shared" si="28"/>
        <v>0</v>
      </c>
      <c r="E70" s="10">
        <f t="shared" si="24"/>
        <v>0</v>
      </c>
      <c r="F70" s="10">
        <f t="shared" si="29"/>
        <v>0</v>
      </c>
      <c r="G70" s="10">
        <f t="shared" si="25"/>
        <v>0</v>
      </c>
      <c r="H70" s="10">
        <f t="shared" si="30"/>
        <v>0</v>
      </c>
      <c r="I70" s="10">
        <f t="shared" si="19"/>
        <v>0</v>
      </c>
      <c r="J70" s="10">
        <f>ROUND(1374461.92,2)</f>
        <v>1374461.92</v>
      </c>
      <c r="K70" s="10">
        <f t="shared" si="31"/>
        <v>0</v>
      </c>
      <c r="L70" s="10">
        <f>ROUND(417200.14,2)</f>
        <v>417200.14</v>
      </c>
      <c r="M70" s="10">
        <f t="shared" si="32"/>
        <v>0</v>
      </c>
      <c r="N70" s="10">
        <f>ROUND(957261.78,2)</f>
        <v>957261.78</v>
      </c>
      <c r="O70" s="10">
        <f t="shared" si="33"/>
        <v>0</v>
      </c>
    </row>
    <row r="71" spans="1:15" ht="127.5">
      <c r="A71" s="2" t="s">
        <v>78</v>
      </c>
      <c r="B71" s="9" t="s">
        <v>244</v>
      </c>
      <c r="C71" s="9" t="s">
        <v>253</v>
      </c>
      <c r="D71" s="10">
        <f t="shared" si="28"/>
        <v>0</v>
      </c>
      <c r="E71" s="10">
        <f t="shared" si="24"/>
        <v>0</v>
      </c>
      <c r="F71" s="10">
        <f t="shared" si="29"/>
        <v>0</v>
      </c>
      <c r="G71" s="10">
        <f t="shared" si="25"/>
        <v>0</v>
      </c>
      <c r="H71" s="10">
        <f t="shared" si="30"/>
        <v>0</v>
      </c>
      <c r="I71" s="10">
        <f t="shared" si="19"/>
        <v>0</v>
      </c>
      <c r="J71" s="10">
        <f>ROUND(157698.43,2)</f>
        <v>157698.43</v>
      </c>
      <c r="K71" s="10">
        <f t="shared" si="31"/>
        <v>0</v>
      </c>
      <c r="L71" s="10">
        <f>ROUND(0,2)</f>
        <v>0</v>
      </c>
      <c r="M71" s="10">
        <f t="shared" si="32"/>
        <v>0</v>
      </c>
      <c r="N71" s="10">
        <f>ROUND(157698.43,2)</f>
        <v>157698.43</v>
      </c>
      <c r="O71" s="10">
        <f t="shared" si="33"/>
        <v>0</v>
      </c>
    </row>
    <row r="72" spans="1:15" ht="89.25">
      <c r="A72" s="2" t="s">
        <v>249</v>
      </c>
      <c r="B72" s="9" t="s">
        <v>20</v>
      </c>
      <c r="C72" s="9" t="s">
        <v>101</v>
      </c>
      <c r="D72" s="10">
        <f t="shared" si="28"/>
        <v>0</v>
      </c>
      <c r="E72" s="10">
        <f t="shared" si="24"/>
        <v>0</v>
      </c>
      <c r="F72" s="10">
        <f t="shared" si="29"/>
        <v>0</v>
      </c>
      <c r="G72" s="10">
        <f t="shared" si="25"/>
        <v>0</v>
      </c>
      <c r="H72" s="10">
        <f t="shared" si="30"/>
        <v>0</v>
      </c>
      <c r="I72" s="10">
        <f t="shared" si="19"/>
        <v>0</v>
      </c>
      <c r="J72" s="10">
        <f>ROUND(295465.94,2)</f>
        <v>295465.94</v>
      </c>
      <c r="K72" s="10">
        <f t="shared" si="31"/>
        <v>0</v>
      </c>
      <c r="L72" s="10">
        <f>ROUND(225042.44,2)</f>
        <v>225042.44</v>
      </c>
      <c r="M72" s="10">
        <f t="shared" si="32"/>
        <v>0</v>
      </c>
      <c r="N72" s="10">
        <f>ROUND(70423.5,2)</f>
        <v>70423.5</v>
      </c>
      <c r="O72" s="10">
        <f t="shared" si="33"/>
        <v>0</v>
      </c>
    </row>
    <row r="73" spans="1:15" ht="140.25">
      <c r="A73" s="2" t="s">
        <v>7</v>
      </c>
      <c r="B73" s="9" t="s">
        <v>197</v>
      </c>
      <c r="C73" s="9" t="s">
        <v>42</v>
      </c>
      <c r="D73" s="10">
        <f>ROUND(227449871.37,2)</f>
        <v>227449871.37</v>
      </c>
      <c r="E73" s="10">
        <f t="shared" si="24"/>
        <v>0</v>
      </c>
      <c r="F73" s="10">
        <f>ROUND(162960201.37,2)</f>
        <v>162960201.37</v>
      </c>
      <c r="G73" s="10">
        <f t="shared" si="25"/>
        <v>0</v>
      </c>
      <c r="H73" s="10">
        <f>ROUND(64489670,2)</f>
        <v>64489670</v>
      </c>
      <c r="I73" s="10">
        <f aca="true" t="shared" si="34" ref="I73:I103">ROUND(0,2)</f>
        <v>0</v>
      </c>
      <c r="J73" s="10">
        <f>ROUND(67285139.56,2)</f>
        <v>67285139.56</v>
      </c>
      <c r="K73" s="10">
        <f t="shared" si="31"/>
        <v>0</v>
      </c>
      <c r="L73" s="10">
        <f>ROUND(49058328.87,2)</f>
        <v>49058328.87</v>
      </c>
      <c r="M73" s="10">
        <f t="shared" si="32"/>
        <v>0</v>
      </c>
      <c r="N73" s="10">
        <f>ROUND(18226810.69,2)</f>
        <v>18226810.69</v>
      </c>
      <c r="O73" s="10">
        <f t="shared" si="33"/>
        <v>0</v>
      </c>
    </row>
    <row r="74" spans="1:15" ht="38.25">
      <c r="A74" s="2" t="s">
        <v>171</v>
      </c>
      <c r="B74" s="9" t="s">
        <v>269</v>
      </c>
      <c r="C74" s="9" t="s">
        <v>8</v>
      </c>
      <c r="D74" s="10">
        <f>ROUND(160592500,2)</f>
        <v>160592500</v>
      </c>
      <c r="E74" s="10">
        <f t="shared" si="24"/>
        <v>0</v>
      </c>
      <c r="F74" s="10">
        <f>ROUND(136230220,2)</f>
        <v>136230220</v>
      </c>
      <c r="G74" s="10">
        <f t="shared" si="25"/>
        <v>0</v>
      </c>
      <c r="H74" s="10">
        <f>ROUND(24362280,2)</f>
        <v>24362280</v>
      </c>
      <c r="I74" s="10">
        <f t="shared" si="34"/>
        <v>0</v>
      </c>
      <c r="J74" s="10">
        <f>ROUND(49239328.72,2)</f>
        <v>49239328.72</v>
      </c>
      <c r="K74" s="10">
        <f t="shared" si="31"/>
        <v>0</v>
      </c>
      <c r="L74" s="10">
        <f>ROUND(42587389.19,2)</f>
        <v>42587389.19</v>
      </c>
      <c r="M74" s="10">
        <f t="shared" si="32"/>
        <v>0</v>
      </c>
      <c r="N74" s="10">
        <f>ROUND(6651939.53,2)</f>
        <v>6651939.53</v>
      </c>
      <c r="O74" s="10">
        <f t="shared" si="33"/>
        <v>0</v>
      </c>
    </row>
    <row r="75" spans="1:15" ht="51">
      <c r="A75" s="2" t="s">
        <v>295</v>
      </c>
      <c r="B75" s="9" t="s">
        <v>185</v>
      </c>
      <c r="C75" s="9" t="s">
        <v>147</v>
      </c>
      <c r="D75" s="10">
        <f>ROUND(99506280,2)</f>
        <v>99506280</v>
      </c>
      <c r="E75" s="10">
        <f t="shared" si="24"/>
        <v>0</v>
      </c>
      <c r="F75" s="10">
        <f>ROUND(84302400,2)</f>
        <v>84302400</v>
      </c>
      <c r="G75" s="10">
        <f t="shared" si="25"/>
        <v>0</v>
      </c>
      <c r="H75" s="10">
        <f>ROUND(15203880,2)</f>
        <v>15203880</v>
      </c>
      <c r="I75" s="10">
        <f t="shared" si="34"/>
        <v>0</v>
      </c>
      <c r="J75" s="10">
        <f>ROUND(29917380.89,2)</f>
        <v>29917380.89</v>
      </c>
      <c r="K75" s="10">
        <f t="shared" si="31"/>
        <v>0</v>
      </c>
      <c r="L75" s="10">
        <f>ROUND(25316951.24,2)</f>
        <v>25316951.24</v>
      </c>
      <c r="M75" s="10">
        <f t="shared" si="32"/>
        <v>0</v>
      </c>
      <c r="N75" s="10">
        <f>ROUND(4600429.65,2)</f>
        <v>4600429.65</v>
      </c>
      <c r="O75" s="10">
        <f t="shared" si="33"/>
        <v>0</v>
      </c>
    </row>
    <row r="76" spans="1:15" ht="51">
      <c r="A76" s="2" t="s">
        <v>76</v>
      </c>
      <c r="B76" s="9" t="s">
        <v>121</v>
      </c>
      <c r="C76" s="9" t="s">
        <v>62</v>
      </c>
      <c r="D76" s="10">
        <f>ROUND(10593500,2)</f>
        <v>10593500</v>
      </c>
      <c r="E76" s="10">
        <f t="shared" si="24"/>
        <v>0</v>
      </c>
      <c r="F76" s="10">
        <f>ROUND(10593500,2)</f>
        <v>10593500</v>
      </c>
      <c r="G76" s="10">
        <f t="shared" si="25"/>
        <v>0</v>
      </c>
      <c r="H76" s="10">
        <f>ROUND(0,2)</f>
        <v>0</v>
      </c>
      <c r="I76" s="10">
        <f t="shared" si="34"/>
        <v>0</v>
      </c>
      <c r="J76" s="10">
        <f>ROUND(3197847.19,2)</f>
        <v>3197847.19</v>
      </c>
      <c r="K76" s="10">
        <f t="shared" si="31"/>
        <v>0</v>
      </c>
      <c r="L76" s="10">
        <f>ROUND(3197847.19,2)</f>
        <v>3197847.19</v>
      </c>
      <c r="M76" s="10">
        <f t="shared" si="32"/>
        <v>0</v>
      </c>
      <c r="N76" s="10">
        <f>ROUND(0,2)</f>
        <v>0</v>
      </c>
      <c r="O76" s="10">
        <f t="shared" si="33"/>
        <v>0</v>
      </c>
    </row>
    <row r="77" spans="1:15" ht="76.5">
      <c r="A77" s="2" t="s">
        <v>243</v>
      </c>
      <c r="B77" s="9" t="s">
        <v>16</v>
      </c>
      <c r="C77" s="9" t="s">
        <v>180</v>
      </c>
      <c r="D77" s="10">
        <f>ROUND(79305780,2)</f>
        <v>79305780</v>
      </c>
      <c r="E77" s="10">
        <f t="shared" si="24"/>
        <v>0</v>
      </c>
      <c r="F77" s="10">
        <f>ROUND(64101900,2)</f>
        <v>64101900</v>
      </c>
      <c r="G77" s="10">
        <f t="shared" si="25"/>
        <v>0</v>
      </c>
      <c r="H77" s="10">
        <f>ROUND(15203880,2)</f>
        <v>15203880</v>
      </c>
      <c r="I77" s="10">
        <f t="shared" si="34"/>
        <v>0</v>
      </c>
      <c r="J77" s="10">
        <f>ROUND(24002503.7,2)</f>
        <v>24002503.7</v>
      </c>
      <c r="K77" s="10">
        <f t="shared" si="31"/>
        <v>0</v>
      </c>
      <c r="L77" s="10">
        <f>ROUND(19402074.05,2)</f>
        <v>19402074.05</v>
      </c>
      <c r="M77" s="10">
        <f t="shared" si="32"/>
        <v>0</v>
      </c>
      <c r="N77" s="10">
        <f>ROUND(4600429.65,2)</f>
        <v>4600429.65</v>
      </c>
      <c r="O77" s="10">
        <f t="shared" si="33"/>
        <v>0</v>
      </c>
    </row>
    <row r="78" spans="1:15" ht="25.5">
      <c r="A78" s="2" t="s">
        <v>95</v>
      </c>
      <c r="B78" s="9" t="s">
        <v>59</v>
      </c>
      <c r="C78" s="9" t="s">
        <v>89</v>
      </c>
      <c r="D78" s="10">
        <f>ROUND(9607000,2)</f>
        <v>9607000</v>
      </c>
      <c r="E78" s="10">
        <f t="shared" si="24"/>
        <v>0</v>
      </c>
      <c r="F78" s="10">
        <f>ROUND(9607000,2)</f>
        <v>9607000</v>
      </c>
      <c r="G78" s="10">
        <f t="shared" si="25"/>
        <v>0</v>
      </c>
      <c r="H78" s="10">
        <f>ROUND(0,2)</f>
        <v>0</v>
      </c>
      <c r="I78" s="10">
        <f t="shared" si="34"/>
        <v>0</v>
      </c>
      <c r="J78" s="10">
        <f>ROUND(2717030,2)</f>
        <v>2717030</v>
      </c>
      <c r="K78" s="10">
        <f t="shared" si="31"/>
        <v>0</v>
      </c>
      <c r="L78" s="10">
        <f>ROUND(2717030,2)</f>
        <v>2717030</v>
      </c>
      <c r="M78" s="10">
        <f t="shared" si="32"/>
        <v>0</v>
      </c>
      <c r="N78" s="10">
        <f>ROUND(0,2)</f>
        <v>0</v>
      </c>
      <c r="O78" s="10">
        <f t="shared" si="33"/>
        <v>0</v>
      </c>
    </row>
    <row r="79" spans="1:15" ht="25.5">
      <c r="A79" s="2" t="s">
        <v>232</v>
      </c>
      <c r="B79" s="9" t="s">
        <v>109</v>
      </c>
      <c r="C79" s="9" t="s">
        <v>83</v>
      </c>
      <c r="D79" s="10">
        <f>ROUND(17533500,2)</f>
        <v>17533500</v>
      </c>
      <c r="E79" s="10">
        <f t="shared" si="24"/>
        <v>0</v>
      </c>
      <c r="F79" s="10">
        <f>ROUND(11038500,2)</f>
        <v>11038500</v>
      </c>
      <c r="G79" s="10">
        <f t="shared" si="25"/>
        <v>0</v>
      </c>
      <c r="H79" s="10">
        <f>ROUND(6495000,2)</f>
        <v>6495000</v>
      </c>
      <c r="I79" s="10">
        <f t="shared" si="34"/>
        <v>0</v>
      </c>
      <c r="J79" s="10">
        <f>ROUND(4623317.69,2)</f>
        <v>4623317.69</v>
      </c>
      <c r="K79" s="10">
        <f t="shared" si="31"/>
        <v>0</v>
      </c>
      <c r="L79" s="10">
        <f>ROUND(3103003.46,2)</f>
        <v>3103003.46</v>
      </c>
      <c r="M79" s="10">
        <f t="shared" si="32"/>
        <v>0</v>
      </c>
      <c r="N79" s="10">
        <f>ROUND(1520314.23,2)</f>
        <v>1520314.23</v>
      </c>
      <c r="O79" s="10">
        <f t="shared" si="33"/>
        <v>0</v>
      </c>
    </row>
    <row r="80" spans="1:15" ht="51">
      <c r="A80" s="2" t="s">
        <v>94</v>
      </c>
      <c r="B80" s="9" t="s">
        <v>196</v>
      </c>
      <c r="C80" s="9" t="s">
        <v>62</v>
      </c>
      <c r="D80" s="10">
        <f>ROUND(16687100,2)</f>
        <v>16687100</v>
      </c>
      <c r="E80" s="10">
        <f t="shared" si="24"/>
        <v>0</v>
      </c>
      <c r="F80" s="10">
        <f>ROUND(10192100,2)</f>
        <v>10192100</v>
      </c>
      <c r="G80" s="10">
        <f t="shared" si="25"/>
        <v>0</v>
      </c>
      <c r="H80" s="10">
        <f>ROUND(6495000,2)</f>
        <v>6495000</v>
      </c>
      <c r="I80" s="10">
        <f t="shared" si="34"/>
        <v>0</v>
      </c>
      <c r="J80" s="10">
        <f>ROUND(4374514.23,2)</f>
        <v>4374514.23</v>
      </c>
      <c r="K80" s="10">
        <f t="shared" si="31"/>
        <v>0</v>
      </c>
      <c r="L80" s="10">
        <f>ROUND(2854200,2)</f>
        <v>2854200</v>
      </c>
      <c r="M80" s="10">
        <f t="shared" si="32"/>
        <v>0</v>
      </c>
      <c r="N80" s="10">
        <f>ROUND(1520314.23,2)</f>
        <v>1520314.23</v>
      </c>
      <c r="O80" s="10">
        <f t="shared" si="33"/>
        <v>0</v>
      </c>
    </row>
    <row r="81" spans="1:15" ht="76.5">
      <c r="A81" s="2" t="s">
        <v>236</v>
      </c>
      <c r="B81" s="9" t="s">
        <v>235</v>
      </c>
      <c r="C81" s="9" t="s">
        <v>180</v>
      </c>
      <c r="D81" s="10">
        <f>ROUND(846400,2)</f>
        <v>846400</v>
      </c>
      <c r="E81" s="10">
        <f t="shared" si="24"/>
        <v>0</v>
      </c>
      <c r="F81" s="10">
        <f>ROUND(846400,2)</f>
        <v>846400</v>
      </c>
      <c r="G81" s="10">
        <f t="shared" si="25"/>
        <v>0</v>
      </c>
      <c r="H81" s="10">
        <f>ROUND(0,2)</f>
        <v>0</v>
      </c>
      <c r="I81" s="10">
        <f t="shared" si="34"/>
        <v>0</v>
      </c>
      <c r="J81" s="10">
        <f>ROUND(248803.46,2)</f>
        <v>248803.46</v>
      </c>
      <c r="K81" s="10">
        <f t="shared" si="31"/>
        <v>0</v>
      </c>
      <c r="L81" s="10">
        <f>ROUND(248803.46,2)</f>
        <v>248803.46</v>
      </c>
      <c r="M81" s="10">
        <f t="shared" si="32"/>
        <v>0</v>
      </c>
      <c r="N81" s="10">
        <f>ROUND(0,2)</f>
        <v>0</v>
      </c>
      <c r="O81" s="10">
        <f t="shared" si="33"/>
        <v>0</v>
      </c>
    </row>
    <row r="82" spans="1:15" ht="25.5">
      <c r="A82" s="2" t="s">
        <v>166</v>
      </c>
      <c r="B82" s="9" t="s">
        <v>15</v>
      </c>
      <c r="C82" s="9" t="s">
        <v>291</v>
      </c>
      <c r="D82" s="10">
        <f>ROUND(15496100,2)</f>
        <v>15496100</v>
      </c>
      <c r="E82" s="10">
        <f t="shared" si="24"/>
        <v>0</v>
      </c>
      <c r="F82" s="10">
        <f>ROUND(1724900,2)</f>
        <v>1724900</v>
      </c>
      <c r="G82" s="10">
        <f t="shared" si="25"/>
        <v>0</v>
      </c>
      <c r="H82" s="10">
        <f>ROUND(13771200,2)</f>
        <v>13771200</v>
      </c>
      <c r="I82" s="10">
        <f t="shared" si="34"/>
        <v>0</v>
      </c>
      <c r="J82" s="10">
        <f>ROUND(3736205.23,2)</f>
        <v>3736205.23</v>
      </c>
      <c r="K82" s="10">
        <f t="shared" si="31"/>
        <v>0</v>
      </c>
      <c r="L82" s="10">
        <f>ROUND(648549.63,2)</f>
        <v>648549.63</v>
      </c>
      <c r="M82" s="10">
        <f t="shared" si="32"/>
        <v>0</v>
      </c>
      <c r="N82" s="10">
        <f>ROUND(3087655.6,2)</f>
        <v>3087655.6</v>
      </c>
      <c r="O82" s="10">
        <f t="shared" si="33"/>
        <v>0</v>
      </c>
    </row>
    <row r="83" spans="1:15" ht="12.75">
      <c r="A83" s="2" t="s">
        <v>254</v>
      </c>
      <c r="B83" s="9" t="s">
        <v>293</v>
      </c>
      <c r="C83" s="9" t="s">
        <v>37</v>
      </c>
      <c r="D83" s="10">
        <f>ROUND(51361271.37,2)</f>
        <v>51361271.37</v>
      </c>
      <c r="E83" s="10">
        <f t="shared" si="24"/>
        <v>0</v>
      </c>
      <c r="F83" s="10">
        <f>ROUND(25005081.37,2)</f>
        <v>25005081.37</v>
      </c>
      <c r="G83" s="10">
        <f t="shared" si="25"/>
        <v>0</v>
      </c>
      <c r="H83" s="10">
        <f>ROUND(26356190,2)</f>
        <v>26356190</v>
      </c>
      <c r="I83" s="10">
        <f t="shared" si="34"/>
        <v>0</v>
      </c>
      <c r="J83" s="10">
        <f>ROUND(14309605.61,2)</f>
        <v>14309605.61</v>
      </c>
      <c r="K83" s="10">
        <f t="shared" si="31"/>
        <v>0</v>
      </c>
      <c r="L83" s="10">
        <f>ROUND(5822390.05,2)</f>
        <v>5822390.05</v>
      </c>
      <c r="M83" s="10">
        <f t="shared" si="32"/>
        <v>0</v>
      </c>
      <c r="N83" s="10">
        <f>ROUND(8487215.56,2)</f>
        <v>8487215.56</v>
      </c>
      <c r="O83" s="10">
        <f t="shared" si="33"/>
        <v>0</v>
      </c>
    </row>
    <row r="84" spans="1:15" ht="38.25">
      <c r="A84" s="2" t="s">
        <v>92</v>
      </c>
      <c r="B84" s="9" t="s">
        <v>12</v>
      </c>
      <c r="C84" s="9" t="s">
        <v>32</v>
      </c>
      <c r="D84" s="10">
        <f>ROUND(69352531.63,2)</f>
        <v>69352531.63</v>
      </c>
      <c r="E84" s="10">
        <f aca="true" t="shared" si="35" ref="E84:E103">ROUND(0,2)</f>
        <v>0</v>
      </c>
      <c r="F84" s="10">
        <f>ROUND(49741677.63,2)</f>
        <v>49741677.63</v>
      </c>
      <c r="G84" s="10">
        <f aca="true" t="shared" si="36" ref="G84:G103">ROUND(0,2)</f>
        <v>0</v>
      </c>
      <c r="H84" s="10">
        <f>ROUND(19610854,2)</f>
        <v>19610854</v>
      </c>
      <c r="I84" s="10">
        <f t="shared" si="34"/>
        <v>0</v>
      </c>
      <c r="J84" s="10">
        <f>ROUND(16906341.92,2)</f>
        <v>16906341.92</v>
      </c>
      <c r="K84" s="10">
        <f t="shared" si="31"/>
        <v>0</v>
      </c>
      <c r="L84" s="10">
        <f>ROUND(11867358.11,2)</f>
        <v>11867358.11</v>
      </c>
      <c r="M84" s="10">
        <f t="shared" si="32"/>
        <v>0</v>
      </c>
      <c r="N84" s="10">
        <f>ROUND(5038983.81,2)</f>
        <v>5038983.81</v>
      </c>
      <c r="O84" s="10">
        <f t="shared" si="33"/>
        <v>0</v>
      </c>
    </row>
    <row r="85" spans="1:15" ht="38.25">
      <c r="A85" s="2" t="s">
        <v>237</v>
      </c>
      <c r="B85" s="9" t="s">
        <v>93</v>
      </c>
      <c r="C85" s="9" t="s">
        <v>258</v>
      </c>
      <c r="D85" s="10">
        <f>ROUND(48686500,2)</f>
        <v>48686500</v>
      </c>
      <c r="E85" s="10">
        <f t="shared" si="35"/>
        <v>0</v>
      </c>
      <c r="F85" s="10">
        <f>ROUND(41229528,2)</f>
        <v>41229528</v>
      </c>
      <c r="G85" s="10">
        <f t="shared" si="36"/>
        <v>0</v>
      </c>
      <c r="H85" s="10">
        <f>ROUND(7456972,2)</f>
        <v>7456972</v>
      </c>
      <c r="I85" s="10">
        <f t="shared" si="34"/>
        <v>0</v>
      </c>
      <c r="J85" s="10">
        <f>ROUND(12495551.91,2)</f>
        <v>12495551.91</v>
      </c>
      <c r="K85" s="10">
        <f t="shared" si="31"/>
        <v>0</v>
      </c>
      <c r="L85" s="10">
        <f>ROUND(10649765.58,2)</f>
        <v>10649765.58</v>
      </c>
      <c r="M85" s="10">
        <f t="shared" si="32"/>
        <v>0</v>
      </c>
      <c r="N85" s="10">
        <f>ROUND(1845786.33,2)</f>
        <v>1845786.33</v>
      </c>
      <c r="O85" s="10">
        <f t="shared" si="33"/>
        <v>0</v>
      </c>
    </row>
    <row r="86" spans="1:15" ht="76.5">
      <c r="A86" s="2" t="s">
        <v>44</v>
      </c>
      <c r="B86" s="9" t="s">
        <v>28</v>
      </c>
      <c r="C86" s="9" t="s">
        <v>252</v>
      </c>
      <c r="D86" s="10">
        <f>ROUND(30230854,2)</f>
        <v>30230854</v>
      </c>
      <c r="E86" s="10">
        <f t="shared" si="35"/>
        <v>0</v>
      </c>
      <c r="F86" s="10">
        <f>ROUND(25548700,2)</f>
        <v>25548700</v>
      </c>
      <c r="G86" s="10">
        <f t="shared" si="36"/>
        <v>0</v>
      </c>
      <c r="H86" s="10">
        <f>ROUND(4682154,2)</f>
        <v>4682154</v>
      </c>
      <c r="I86" s="10">
        <f t="shared" si="34"/>
        <v>0</v>
      </c>
      <c r="J86" s="10">
        <f>ROUND(9215906.24,2)</f>
        <v>9215906.24</v>
      </c>
      <c r="K86" s="10">
        <f t="shared" si="31"/>
        <v>0</v>
      </c>
      <c r="L86" s="10">
        <f>ROUND(7880186.83,2)</f>
        <v>7880186.83</v>
      </c>
      <c r="M86" s="10">
        <f t="shared" si="32"/>
        <v>0</v>
      </c>
      <c r="N86" s="10">
        <f>ROUND(1335719.41,2)</f>
        <v>1335719.41</v>
      </c>
      <c r="O86" s="10">
        <f t="shared" si="33"/>
        <v>0</v>
      </c>
    </row>
    <row r="87" spans="1:15" ht="51">
      <c r="A87" s="2" t="s">
        <v>209</v>
      </c>
      <c r="B87" s="9" t="s">
        <v>239</v>
      </c>
      <c r="C87" s="9" t="s">
        <v>103</v>
      </c>
      <c r="D87" s="10">
        <f>ROUND(3200000,2)</f>
        <v>3200000</v>
      </c>
      <c r="E87" s="10">
        <f t="shared" si="35"/>
        <v>0</v>
      </c>
      <c r="F87" s="10">
        <f>ROUND(3200000,2)</f>
        <v>3200000</v>
      </c>
      <c r="G87" s="10">
        <f t="shared" si="36"/>
        <v>0</v>
      </c>
      <c r="H87" s="10">
        <f>ROUND(0,2)</f>
        <v>0</v>
      </c>
      <c r="I87" s="10">
        <f t="shared" si="34"/>
        <v>0</v>
      </c>
      <c r="J87" s="10">
        <f>ROUND(976136.4,2)</f>
        <v>976136.4</v>
      </c>
      <c r="K87" s="10">
        <f t="shared" si="31"/>
        <v>0</v>
      </c>
      <c r="L87" s="10">
        <f>ROUND(976136.4,2)</f>
        <v>976136.4</v>
      </c>
      <c r="M87" s="10">
        <f t="shared" si="32"/>
        <v>0</v>
      </c>
      <c r="N87" s="10">
        <f>ROUND(0,2)</f>
        <v>0</v>
      </c>
      <c r="O87" s="10">
        <f t="shared" si="33"/>
        <v>0</v>
      </c>
    </row>
    <row r="88" spans="1:15" ht="76.5">
      <c r="A88" s="2" t="s">
        <v>1</v>
      </c>
      <c r="B88" s="9" t="s">
        <v>200</v>
      </c>
      <c r="C88" s="9" t="s">
        <v>180</v>
      </c>
      <c r="D88" s="10">
        <f>ROUND(24041154,2)</f>
        <v>24041154</v>
      </c>
      <c r="E88" s="10">
        <f t="shared" si="35"/>
        <v>0</v>
      </c>
      <c r="F88" s="10">
        <f>ROUND(19359000,2)</f>
        <v>19359000</v>
      </c>
      <c r="G88" s="10">
        <f t="shared" si="36"/>
        <v>0</v>
      </c>
      <c r="H88" s="10">
        <f>ROUND(4682154,2)</f>
        <v>4682154</v>
      </c>
      <c r="I88" s="10">
        <f t="shared" si="34"/>
        <v>0</v>
      </c>
      <c r="J88" s="10">
        <f>ROUND(7466945.77,2)</f>
        <v>7466945.77</v>
      </c>
      <c r="K88" s="10">
        <f t="shared" si="31"/>
        <v>0</v>
      </c>
      <c r="L88" s="10">
        <f>ROUND(6131226.36,2)</f>
        <v>6131226.36</v>
      </c>
      <c r="M88" s="10">
        <f t="shared" si="32"/>
        <v>0</v>
      </c>
      <c r="N88" s="10">
        <f>ROUND(1335719.41,2)</f>
        <v>1335719.41</v>
      </c>
      <c r="O88" s="10">
        <f t="shared" si="33"/>
        <v>0</v>
      </c>
    </row>
    <row r="89" spans="1:15" ht="25.5">
      <c r="A89" s="2" t="s">
        <v>182</v>
      </c>
      <c r="B89" s="9" t="s">
        <v>160</v>
      </c>
      <c r="C89" s="9" t="s">
        <v>89</v>
      </c>
      <c r="D89" s="10">
        <f>ROUND(2989700,2)</f>
        <v>2989700</v>
      </c>
      <c r="E89" s="10">
        <f t="shared" si="35"/>
        <v>0</v>
      </c>
      <c r="F89" s="10">
        <f>ROUND(2989700,2)</f>
        <v>2989700</v>
      </c>
      <c r="G89" s="10">
        <f t="shared" si="36"/>
        <v>0</v>
      </c>
      <c r="H89" s="10">
        <f>ROUND(0,2)</f>
        <v>0</v>
      </c>
      <c r="I89" s="10">
        <f t="shared" si="34"/>
        <v>0</v>
      </c>
      <c r="J89" s="10">
        <f>ROUND(772824.07,2)</f>
        <v>772824.07</v>
      </c>
      <c r="K89" s="10">
        <f t="shared" si="31"/>
        <v>0</v>
      </c>
      <c r="L89" s="10">
        <f>ROUND(772824.07,2)</f>
        <v>772824.07</v>
      </c>
      <c r="M89" s="10">
        <f t="shared" si="32"/>
        <v>0</v>
      </c>
      <c r="N89" s="10">
        <f>ROUND(0,2)</f>
        <v>0</v>
      </c>
      <c r="O89" s="10">
        <f t="shared" si="33"/>
        <v>0</v>
      </c>
    </row>
    <row r="90" spans="1:15" ht="51">
      <c r="A90" s="2" t="s">
        <v>25</v>
      </c>
      <c r="B90" s="9" t="s">
        <v>255</v>
      </c>
      <c r="C90" s="9" t="s">
        <v>66</v>
      </c>
      <c r="D90" s="10">
        <f>ROUND(5306240,2)</f>
        <v>5306240</v>
      </c>
      <c r="E90" s="10">
        <f t="shared" si="35"/>
        <v>0</v>
      </c>
      <c r="F90" s="10">
        <f>ROUND(3335800,2)</f>
        <v>3335800</v>
      </c>
      <c r="G90" s="10">
        <f t="shared" si="36"/>
        <v>0</v>
      </c>
      <c r="H90" s="10">
        <f>ROUND(1970440,2)</f>
        <v>1970440</v>
      </c>
      <c r="I90" s="10">
        <f t="shared" si="34"/>
        <v>0</v>
      </c>
      <c r="J90" s="10">
        <f>ROUND(1352451.43,2)</f>
        <v>1352451.43</v>
      </c>
      <c r="K90" s="10">
        <f t="shared" si="31"/>
        <v>0</v>
      </c>
      <c r="L90" s="10">
        <f>ROUND(937107.05,2)</f>
        <v>937107.05</v>
      </c>
      <c r="M90" s="10">
        <f t="shared" si="32"/>
        <v>0</v>
      </c>
      <c r="N90" s="10">
        <f>ROUND(415344.38,2)</f>
        <v>415344.38</v>
      </c>
      <c r="O90" s="10">
        <f t="shared" si="33"/>
        <v>0</v>
      </c>
    </row>
    <row r="91" spans="1:15" ht="51">
      <c r="A91" s="2" t="s">
        <v>161</v>
      </c>
      <c r="B91" s="9" t="s">
        <v>11</v>
      </c>
      <c r="C91" s="9" t="s">
        <v>103</v>
      </c>
      <c r="D91" s="10">
        <f>ROUND(5050640,2)</f>
        <v>5050640</v>
      </c>
      <c r="E91" s="10">
        <f t="shared" si="35"/>
        <v>0</v>
      </c>
      <c r="F91" s="10">
        <f>ROUND(3080200,2)</f>
        <v>3080200</v>
      </c>
      <c r="G91" s="10">
        <f t="shared" si="36"/>
        <v>0</v>
      </c>
      <c r="H91" s="10">
        <f>ROUND(1970440,2)</f>
        <v>1970440</v>
      </c>
      <c r="I91" s="10">
        <f t="shared" si="34"/>
        <v>0</v>
      </c>
      <c r="J91" s="10">
        <f>ROUND(1277312.78,2)</f>
        <v>1277312.78</v>
      </c>
      <c r="K91" s="10">
        <f t="shared" si="31"/>
        <v>0</v>
      </c>
      <c r="L91" s="10">
        <f>ROUND(861968.4,2)</f>
        <v>861968.4</v>
      </c>
      <c r="M91" s="10">
        <f t="shared" si="32"/>
        <v>0</v>
      </c>
      <c r="N91" s="10">
        <f>ROUND(415344.38,2)</f>
        <v>415344.38</v>
      </c>
      <c r="O91" s="10">
        <f t="shared" si="33"/>
        <v>0</v>
      </c>
    </row>
    <row r="92" spans="1:15" ht="76.5">
      <c r="A92" s="2" t="s">
        <v>33</v>
      </c>
      <c r="B92" s="9" t="s">
        <v>120</v>
      </c>
      <c r="C92" s="9" t="s">
        <v>180</v>
      </c>
      <c r="D92" s="10">
        <f>ROUND(255600,2)</f>
        <v>255600</v>
      </c>
      <c r="E92" s="10">
        <f t="shared" si="35"/>
        <v>0</v>
      </c>
      <c r="F92" s="10">
        <f>ROUND(255600,2)</f>
        <v>255600</v>
      </c>
      <c r="G92" s="10">
        <f t="shared" si="36"/>
        <v>0</v>
      </c>
      <c r="H92" s="10">
        <f>ROUND(0,2)</f>
        <v>0</v>
      </c>
      <c r="I92" s="10">
        <f t="shared" si="34"/>
        <v>0</v>
      </c>
      <c r="J92" s="10">
        <f>ROUND(75138.65,2)</f>
        <v>75138.65</v>
      </c>
      <c r="K92" s="10">
        <f t="shared" si="31"/>
        <v>0</v>
      </c>
      <c r="L92" s="10">
        <f>ROUND(75138.65,2)</f>
        <v>75138.65</v>
      </c>
      <c r="M92" s="10">
        <f t="shared" si="32"/>
        <v>0</v>
      </c>
      <c r="N92" s="10">
        <f>ROUND(0,2)</f>
        <v>0</v>
      </c>
      <c r="O92" s="10">
        <f t="shared" si="33"/>
        <v>0</v>
      </c>
    </row>
    <row r="93" spans="1:15" ht="25.5">
      <c r="A93" s="2" t="s">
        <v>222</v>
      </c>
      <c r="B93" s="9" t="s">
        <v>199</v>
      </c>
      <c r="C93" s="9" t="s">
        <v>291</v>
      </c>
      <c r="D93" s="10">
        <f>ROUND(4678000,2)</f>
        <v>4678000</v>
      </c>
      <c r="E93" s="10">
        <f t="shared" si="35"/>
        <v>0</v>
      </c>
      <c r="F93" s="10">
        <f>ROUND(514400,2)</f>
        <v>514400</v>
      </c>
      <c r="G93" s="10">
        <f t="shared" si="36"/>
        <v>0</v>
      </c>
      <c r="H93" s="10">
        <f>ROUND(4163600,2)</f>
        <v>4163600</v>
      </c>
      <c r="I93" s="10">
        <f t="shared" si="34"/>
        <v>0</v>
      </c>
      <c r="J93" s="10">
        <f>ROUND(1041765.21,2)</f>
        <v>1041765.21</v>
      </c>
      <c r="K93" s="10">
        <f t="shared" si="31"/>
        <v>0</v>
      </c>
      <c r="L93" s="10">
        <f>ROUND(91073.98,2)</f>
        <v>91073.98</v>
      </c>
      <c r="M93" s="10">
        <f t="shared" si="32"/>
        <v>0</v>
      </c>
      <c r="N93" s="10">
        <f>ROUND(950691.23,2)</f>
        <v>950691.23</v>
      </c>
      <c r="O93" s="10">
        <f t="shared" si="33"/>
        <v>0</v>
      </c>
    </row>
    <row r="94" spans="1:15" ht="12.75">
      <c r="A94" s="2" t="s">
        <v>14</v>
      </c>
      <c r="B94" s="9" t="s">
        <v>74</v>
      </c>
      <c r="C94" s="9" t="s">
        <v>37</v>
      </c>
      <c r="D94" s="10">
        <f>ROUND(15988031.63,2)</f>
        <v>15988031.63</v>
      </c>
      <c r="E94" s="10">
        <f t="shared" si="35"/>
        <v>0</v>
      </c>
      <c r="F94" s="10">
        <f>ROUND(7997749.63,2)</f>
        <v>7997749.63</v>
      </c>
      <c r="G94" s="10">
        <f t="shared" si="36"/>
        <v>0</v>
      </c>
      <c r="H94" s="10">
        <f>ROUND(7990282,2)</f>
        <v>7990282</v>
      </c>
      <c r="I94" s="10">
        <f t="shared" si="34"/>
        <v>0</v>
      </c>
      <c r="J94" s="10">
        <f>ROUND(3369024.8,2)</f>
        <v>3369024.8</v>
      </c>
      <c r="K94" s="10">
        <f t="shared" si="31"/>
        <v>0</v>
      </c>
      <c r="L94" s="10">
        <f>ROUND(1126518.55,2)</f>
        <v>1126518.55</v>
      </c>
      <c r="M94" s="10">
        <f t="shared" si="32"/>
        <v>0</v>
      </c>
      <c r="N94" s="10">
        <f>ROUND(2242506.25,2)</f>
        <v>2242506.25</v>
      </c>
      <c r="O94" s="10">
        <f t="shared" si="33"/>
        <v>0</v>
      </c>
    </row>
    <row r="95" spans="1:15" ht="76.5">
      <c r="A95" s="2" t="s">
        <v>38</v>
      </c>
      <c r="B95" s="9" t="s">
        <v>170</v>
      </c>
      <c r="C95" s="9" t="s">
        <v>112</v>
      </c>
      <c r="D95" s="10">
        <f>ROUND(80264819.65,2)</f>
        <v>80264819.65</v>
      </c>
      <c r="E95" s="10">
        <f t="shared" si="35"/>
        <v>0</v>
      </c>
      <c r="F95" s="10">
        <f>ROUND(36085221.65,2)</f>
        <v>36085221.65</v>
      </c>
      <c r="G95" s="10">
        <f t="shared" si="36"/>
        <v>0</v>
      </c>
      <c r="H95" s="10">
        <f>ROUND(44179598,2)</f>
        <v>44179598</v>
      </c>
      <c r="I95" s="10">
        <f t="shared" si="34"/>
        <v>0</v>
      </c>
      <c r="J95" s="10">
        <f>ROUND(25258840.44,2)</f>
        <v>25258840.44</v>
      </c>
      <c r="K95" s="10">
        <f t="shared" si="31"/>
        <v>0</v>
      </c>
      <c r="L95" s="10">
        <f>ROUND(9656510.85,2)</f>
        <v>9656510.85</v>
      </c>
      <c r="M95" s="10">
        <f t="shared" si="32"/>
        <v>0</v>
      </c>
      <c r="N95" s="10">
        <f>ROUND(15602329.59,2)</f>
        <v>15602329.59</v>
      </c>
      <c r="O95" s="10">
        <f t="shared" si="33"/>
        <v>0</v>
      </c>
    </row>
    <row r="96" spans="1:15" ht="51">
      <c r="A96" s="2" t="s">
        <v>165</v>
      </c>
      <c r="B96" s="9" t="s">
        <v>80</v>
      </c>
      <c r="C96" s="9" t="s">
        <v>97</v>
      </c>
      <c r="D96" s="10">
        <f>ROUND(46143707.37,2)</f>
        <v>46143707.37</v>
      </c>
      <c r="E96" s="10">
        <f t="shared" si="35"/>
        <v>0</v>
      </c>
      <c r="F96" s="10">
        <f>ROUND(21970907.37,2)</f>
        <v>21970907.37</v>
      </c>
      <c r="G96" s="10">
        <f t="shared" si="36"/>
        <v>0</v>
      </c>
      <c r="H96" s="10">
        <f>ROUND(24172800,2)</f>
        <v>24172800</v>
      </c>
      <c r="I96" s="10">
        <f t="shared" si="34"/>
        <v>0</v>
      </c>
      <c r="J96" s="10">
        <f>ROUND(13115568.88,2)</f>
        <v>13115568.88</v>
      </c>
      <c r="K96" s="10">
        <f t="shared" si="31"/>
        <v>0</v>
      </c>
      <c r="L96" s="10">
        <f>ROUND(5264207.8,2)</f>
        <v>5264207.8</v>
      </c>
      <c r="M96" s="10">
        <f t="shared" si="32"/>
        <v>0</v>
      </c>
      <c r="N96" s="10">
        <f>ROUND(7851361.08,2)</f>
        <v>7851361.08</v>
      </c>
      <c r="O96" s="10">
        <f t="shared" si="33"/>
        <v>0</v>
      </c>
    </row>
    <row r="97" spans="1:15" ht="25.5">
      <c r="A97" s="2" t="s">
        <v>5</v>
      </c>
      <c r="B97" s="9"/>
      <c r="C97" s="9" t="s">
        <v>274</v>
      </c>
      <c r="D97" s="10">
        <f>ROUND(9188307.37,2)</f>
        <v>9188307.37</v>
      </c>
      <c r="E97" s="10">
        <f t="shared" si="35"/>
        <v>0</v>
      </c>
      <c r="F97" s="10">
        <f>ROUND(1403207.37,2)</f>
        <v>1403207.37</v>
      </c>
      <c r="G97" s="10">
        <f t="shared" si="36"/>
        <v>0</v>
      </c>
      <c r="H97" s="10">
        <f>ROUND(7785100,2)</f>
        <v>7785100</v>
      </c>
      <c r="I97" s="10">
        <f t="shared" si="34"/>
        <v>0</v>
      </c>
      <c r="J97" s="10">
        <f>ROUND(2961207.43,2)</f>
        <v>2961207.43</v>
      </c>
      <c r="K97" s="10">
        <f t="shared" si="31"/>
        <v>0</v>
      </c>
      <c r="L97" s="10">
        <f>ROUND(378229.12,2)</f>
        <v>378229.12</v>
      </c>
      <c r="M97" s="10">
        <f t="shared" si="32"/>
        <v>0</v>
      </c>
      <c r="N97" s="10">
        <f>ROUND(2582978.31,2)</f>
        <v>2582978.31</v>
      </c>
      <c r="O97" s="10">
        <f t="shared" si="33"/>
        <v>0</v>
      </c>
    </row>
    <row r="98" spans="1:15" ht="25.5">
      <c r="A98" s="2" t="s">
        <v>188</v>
      </c>
      <c r="B98" s="9"/>
      <c r="C98" s="9" t="s">
        <v>65</v>
      </c>
      <c r="D98" s="10">
        <f>ROUND(22707997,2)</f>
        <v>22707997</v>
      </c>
      <c r="E98" s="10">
        <f t="shared" si="35"/>
        <v>0</v>
      </c>
      <c r="F98" s="10">
        <f>ROUND(15767900,2)</f>
        <v>15767900</v>
      </c>
      <c r="G98" s="10">
        <f t="shared" si="36"/>
        <v>0</v>
      </c>
      <c r="H98" s="10">
        <f>ROUND(6940097,2)</f>
        <v>6940097</v>
      </c>
      <c r="I98" s="10">
        <f t="shared" si="34"/>
        <v>0</v>
      </c>
      <c r="J98" s="10">
        <f>ROUND(6031674.76,2)</f>
        <v>6031674.76</v>
      </c>
      <c r="K98" s="10">
        <f t="shared" si="31"/>
        <v>0</v>
      </c>
      <c r="L98" s="10">
        <f>ROUND(3578042.34,2)</f>
        <v>3578042.34</v>
      </c>
      <c r="M98" s="10">
        <f t="shared" si="32"/>
        <v>0</v>
      </c>
      <c r="N98" s="10">
        <f>ROUND(2453632.42,2)</f>
        <v>2453632.42</v>
      </c>
      <c r="O98" s="10">
        <f t="shared" si="33"/>
        <v>0</v>
      </c>
    </row>
    <row r="99" spans="1:15" ht="12.75">
      <c r="A99" s="2" t="s">
        <v>57</v>
      </c>
      <c r="B99" s="9"/>
      <c r="C99" s="9" t="s">
        <v>43</v>
      </c>
      <c r="D99" s="10">
        <f>ROUND(14247403,2)</f>
        <v>14247403</v>
      </c>
      <c r="E99" s="10">
        <f t="shared" si="35"/>
        <v>0</v>
      </c>
      <c r="F99" s="10">
        <f>ROUND(4799800,2)</f>
        <v>4799800</v>
      </c>
      <c r="G99" s="10">
        <f t="shared" si="36"/>
        <v>0</v>
      </c>
      <c r="H99" s="10">
        <f>ROUND(9447603,2)</f>
        <v>9447603</v>
      </c>
      <c r="I99" s="10">
        <f t="shared" si="34"/>
        <v>0</v>
      </c>
      <c r="J99" s="10">
        <f>ROUND(4122686.69,2)</f>
        <v>4122686.69</v>
      </c>
      <c r="K99" s="10">
        <f t="shared" si="31"/>
        <v>0</v>
      </c>
      <c r="L99" s="10">
        <f>ROUND(1307936.34,2)</f>
        <v>1307936.34</v>
      </c>
      <c r="M99" s="10">
        <f t="shared" si="32"/>
        <v>0</v>
      </c>
      <c r="N99" s="10">
        <f>ROUND(2814750.35,2)</f>
        <v>2814750.35</v>
      </c>
      <c r="O99" s="10">
        <f t="shared" si="33"/>
        <v>0</v>
      </c>
    </row>
    <row r="100" spans="1:15" ht="51">
      <c r="A100" s="2" t="s">
        <v>151</v>
      </c>
      <c r="B100" s="9" t="s">
        <v>221</v>
      </c>
      <c r="C100" s="9" t="s">
        <v>86</v>
      </c>
      <c r="D100" s="10">
        <f>ROUND(14253423.63,2)</f>
        <v>14253423.63</v>
      </c>
      <c r="E100" s="10">
        <f t="shared" si="35"/>
        <v>0</v>
      </c>
      <c r="F100" s="10">
        <f>ROUND(7044023.63,2)</f>
        <v>7044023.63</v>
      </c>
      <c r="G100" s="10">
        <f t="shared" si="36"/>
        <v>0</v>
      </c>
      <c r="H100" s="10">
        <f>ROUND(7209400,2)</f>
        <v>7209400</v>
      </c>
      <c r="I100" s="10">
        <f t="shared" si="34"/>
        <v>0</v>
      </c>
      <c r="J100" s="10">
        <f>ROUND(3156871.47,2)</f>
        <v>3156871.47</v>
      </c>
      <c r="K100" s="10">
        <f t="shared" si="31"/>
        <v>0</v>
      </c>
      <c r="L100" s="10">
        <f>ROUND(1054079.74,2)</f>
        <v>1054079.74</v>
      </c>
      <c r="M100" s="10">
        <f t="shared" si="32"/>
        <v>0</v>
      </c>
      <c r="N100" s="10">
        <f>ROUND(2102791.73,2)</f>
        <v>2102791.73</v>
      </c>
      <c r="O100" s="10">
        <f t="shared" si="33"/>
        <v>0</v>
      </c>
    </row>
    <row r="101" spans="1:15" ht="25.5">
      <c r="A101" s="2" t="s">
        <v>31</v>
      </c>
      <c r="B101" s="9"/>
      <c r="C101" s="9" t="s">
        <v>274</v>
      </c>
      <c r="D101" s="10">
        <f>ROUND(2733792.63,2)</f>
        <v>2733792.63</v>
      </c>
      <c r="E101" s="10">
        <f t="shared" si="35"/>
        <v>0</v>
      </c>
      <c r="F101" s="10">
        <f>ROUND(426792.63,2)</f>
        <v>426792.63</v>
      </c>
      <c r="G101" s="10">
        <f t="shared" si="36"/>
        <v>0</v>
      </c>
      <c r="H101" s="10">
        <f>ROUND(2307000,2)</f>
        <v>2307000</v>
      </c>
      <c r="I101" s="10">
        <f t="shared" si="34"/>
        <v>0</v>
      </c>
      <c r="J101" s="10">
        <f>ROUND(784935.52,2)</f>
        <v>784935.52</v>
      </c>
      <c r="K101" s="10">
        <f t="shared" si="31"/>
        <v>0</v>
      </c>
      <c r="L101" s="10">
        <f>ROUND(43501.63,2)</f>
        <v>43501.63</v>
      </c>
      <c r="M101" s="10">
        <f t="shared" si="32"/>
        <v>0</v>
      </c>
      <c r="N101" s="10">
        <f>ROUND(741433.89,2)</f>
        <v>741433.89</v>
      </c>
      <c r="O101" s="10">
        <f t="shared" si="33"/>
        <v>0</v>
      </c>
    </row>
    <row r="102" spans="1:15" ht="25.5">
      <c r="A102" s="2" t="s">
        <v>153</v>
      </c>
      <c r="B102" s="9"/>
      <c r="C102" s="9" t="s">
        <v>65</v>
      </c>
      <c r="D102" s="10">
        <f>ROUND(7318806,2)</f>
        <v>7318806</v>
      </c>
      <c r="E102" s="10">
        <f t="shared" si="35"/>
        <v>0</v>
      </c>
      <c r="F102" s="10">
        <f>ROUND(5159431,2)</f>
        <v>5159431</v>
      </c>
      <c r="G102" s="10">
        <f t="shared" si="36"/>
        <v>0</v>
      </c>
      <c r="H102" s="10">
        <f>ROUND(2159375,2)</f>
        <v>2159375</v>
      </c>
      <c r="I102" s="10">
        <f t="shared" si="34"/>
        <v>0</v>
      </c>
      <c r="J102" s="10">
        <f>ROUND(1415339.26,2)</f>
        <v>1415339.26</v>
      </c>
      <c r="K102" s="10">
        <f t="shared" si="31"/>
        <v>0</v>
      </c>
      <c r="L102" s="10">
        <f>ROUND(783751.94,2)</f>
        <v>783751.94</v>
      </c>
      <c r="M102" s="10">
        <f t="shared" si="32"/>
        <v>0</v>
      </c>
      <c r="N102" s="10">
        <f>ROUND(631587.32,2)</f>
        <v>631587.32</v>
      </c>
      <c r="O102" s="10">
        <f t="shared" si="33"/>
        <v>0</v>
      </c>
    </row>
    <row r="103" spans="1:15" ht="12.75">
      <c r="A103" s="2" t="s">
        <v>27</v>
      </c>
      <c r="B103" s="9"/>
      <c r="C103" s="9" t="s">
        <v>43</v>
      </c>
      <c r="D103" s="10">
        <f>ROUND(4200825,2)</f>
        <v>4200825</v>
      </c>
      <c r="E103" s="10">
        <f t="shared" si="35"/>
        <v>0</v>
      </c>
      <c r="F103" s="10">
        <f>ROUND(1457800,2)</f>
        <v>1457800</v>
      </c>
      <c r="G103" s="10">
        <f t="shared" si="36"/>
        <v>0</v>
      </c>
      <c r="H103" s="10">
        <f>ROUND(2743025,2)</f>
        <v>2743025</v>
      </c>
      <c r="I103" s="10">
        <f t="shared" si="34"/>
        <v>0</v>
      </c>
      <c r="J103" s="10">
        <f>ROUND(956596.69,2)</f>
        <v>956596.69</v>
      </c>
      <c r="K103" s="10">
        <f t="shared" si="31"/>
        <v>0</v>
      </c>
      <c r="L103" s="10">
        <f>ROUND(226826.17,2)</f>
        <v>226826.17</v>
      </c>
      <c r="M103" s="10">
        <f t="shared" si="32"/>
        <v>0</v>
      </c>
      <c r="N103" s="10">
        <f>ROUND(729770.52,2)</f>
        <v>729770.52</v>
      </c>
      <c r="O103" s="10">
        <f t="shared" si="33"/>
        <v>0</v>
      </c>
    </row>
    <row r="104" spans="14:15" ht="12.75">
      <c r="N104" s="3" t="s">
        <v>211</v>
      </c>
      <c r="O104" s="4"/>
    </row>
    <row r="105" spans="2:15" ht="12.75" customHeight="1">
      <c r="B105" t="s">
        <v>296</v>
      </c>
      <c r="L105" t="s">
        <v>298</v>
      </c>
      <c r="N105" s="8" t="s">
        <v>110</v>
      </c>
      <c r="O105" s="4"/>
    </row>
    <row r="106" spans="14:15" ht="12.75">
      <c r="N106" s="7" t="s">
        <v>211</v>
      </c>
      <c r="O106" s="4"/>
    </row>
    <row r="107" spans="2:15" ht="12.75" customHeight="1">
      <c r="B107" t="s">
        <v>297</v>
      </c>
      <c r="L107" t="s">
        <v>299</v>
      </c>
      <c r="N107" s="8" t="s">
        <v>110</v>
      </c>
      <c r="O107" s="4"/>
    </row>
  </sheetData>
  <mergeCells count="16">
    <mergeCell ref="N104:O104"/>
    <mergeCell ref="N105:O105"/>
    <mergeCell ref="N106:O106"/>
    <mergeCell ref="N107:O107"/>
    <mergeCell ref="N1:O1"/>
    <mergeCell ref="N2:O2"/>
    <mergeCell ref="N3:O3"/>
    <mergeCell ref="I1:L1"/>
    <mergeCell ref="I2:L2"/>
    <mergeCell ref="I3:L3"/>
    <mergeCell ref="A1:D1"/>
    <mergeCell ref="A2:D2"/>
    <mergeCell ref="A3:D3"/>
    <mergeCell ref="E1:H1"/>
    <mergeCell ref="E2:H2"/>
    <mergeCell ref="E3:H3"/>
  </mergeCells>
  <printOptions gridLines="1"/>
  <pageMargins left="0.75" right="0.75" top="0.4166666666666667" bottom="0.4166666666666667" header="0.1388888888888889" footer="0.4166666666666667"/>
  <pageSetup horizontalDpi="600" verticalDpi="600" orientation="landscape" paperSize="9" scale="59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cp:lastPrinted>2012-05-16T05:12:57Z</cp:lastPrinted>
  <dcterms:created xsi:type="dcterms:W3CDTF">2012-05-16T05:13:18Z</dcterms:created>
  <dcterms:modified xsi:type="dcterms:W3CDTF">2012-05-16T05:13:18Z</dcterms:modified>
  <cp:category/>
  <cp:version/>
  <cp:contentType/>
  <cp:contentStatus/>
</cp:coreProperties>
</file>