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  <definedName name="_xlnm.Print_Area" localSheetId="0">'Sheet2'!$A$1:$K$37</definedName>
  </definedNames>
  <calcPr fullCalcOnLoad="1"/>
</workbook>
</file>

<file path=xl/sharedStrings.xml><?xml version="1.0" encoding="utf-8"?>
<sst xmlns="http://schemas.openxmlformats.org/spreadsheetml/2006/main" count="117" uniqueCount="109">
  <si>
    <t>18,10</t>
  </si>
  <si>
    <t>ВСЕГО по Новохоперскому району</t>
  </si>
  <si>
    <t>16  16 Муниципальные районы Исполнено</t>
  </si>
  <si>
    <t>00000000000000000226</t>
  </si>
  <si>
    <t>Обслуживание внутренних долговых обязательств</t>
  </si>
  <si>
    <t>Социальные пособия, выплачиваемые организациями сектора государственного управления</t>
  </si>
  <si>
    <t>12  12 Консолидированный Исполнено</t>
  </si>
  <si>
    <t>18,4</t>
  </si>
  <si>
    <t>Расходы</t>
  </si>
  <si>
    <t>00000000000000000262</t>
  </si>
  <si>
    <t>18,14</t>
  </si>
  <si>
    <t>Пособия по социальной помощи населению</t>
  </si>
  <si>
    <t>00000000000000000222</t>
  </si>
  <si>
    <t>Расходы бюджета - ВСЕГО</t>
  </si>
  <si>
    <t>00000000000000000241</t>
  </si>
  <si>
    <t>18,2</t>
  </si>
  <si>
    <t>17  17 Городские и сельские поселения Исполнено</t>
  </si>
  <si>
    <t>7  7 Муниципальные районы План на год</t>
  </si>
  <si>
    <t>00000000000000000224</t>
  </si>
  <si>
    <t>18,12</t>
  </si>
  <si>
    <t>00000000000000000220</t>
  </si>
  <si>
    <t>18,18</t>
  </si>
  <si>
    <t>№ листа / № строки</t>
  </si>
  <si>
    <t>00000000000000000260</t>
  </si>
  <si>
    <t>Оплата труда</t>
  </si>
  <si>
    <t>18,33</t>
  </si>
  <si>
    <t>18,6</t>
  </si>
  <si>
    <t>Результат исполнения бюджета (дефицит "--", профицит "+")</t>
  </si>
  <si>
    <t>18,8</t>
  </si>
  <si>
    <t>Социальное обеспечение</t>
  </si>
  <si>
    <t>Прочие выплаты</t>
  </si>
  <si>
    <t>00079000000000000000</t>
  </si>
  <si>
    <t>00000000000000000213</t>
  </si>
  <si>
    <t>4  4 Суммы, подлежащие исключению Консолид. План на год</t>
  </si>
  <si>
    <t>00098000000000000000</t>
  </si>
  <si>
    <t>8  8 Городские и сельские поселения План на год</t>
  </si>
  <si>
    <t>18,21</t>
  </si>
  <si>
    <t>Приобретение услуг</t>
  </si>
  <si>
    <t>18,27</t>
  </si>
  <si>
    <t>00000000000000000251</t>
  </si>
  <si>
    <t>00000000000000000211</t>
  </si>
  <si>
    <t>18,29</t>
  </si>
  <si>
    <t>____________________</t>
  </si>
  <si>
    <t>18,42</t>
  </si>
  <si>
    <t>Оплата труда и начисления на оплату труда</t>
  </si>
  <si>
    <t>Транспортные услуги</t>
  </si>
  <si>
    <t>00000000000000000230</t>
  </si>
  <si>
    <t>Безвозмездные и безвозвратные перечисления организациям</t>
  </si>
  <si>
    <t>Безвозмездные и безвозвратные перечисления  организациям, за исключением государственных и муниципальных организаций</t>
  </si>
  <si>
    <t>3  3 Консолидированный  План на год</t>
  </si>
  <si>
    <t>Ед. измерения: документа -  руб.</t>
  </si>
  <si>
    <t>00000000000000000340</t>
  </si>
  <si>
    <t>18,30</t>
  </si>
  <si>
    <t>18,5</t>
  </si>
  <si>
    <t>00000000000000000300</t>
  </si>
  <si>
    <t>Арендная плата за пользование имуществом</t>
  </si>
  <si>
    <t>Безвозмездные и безвозвратные перечисления государственным и муниципальным организациям</t>
  </si>
  <si>
    <t>00000000000000000223</t>
  </si>
  <si>
    <t>Безвозмездные и безвозвратные перечисления бюджетам</t>
  </si>
  <si>
    <t>Обслуживание долговых обязательств</t>
  </si>
  <si>
    <t>00000000000000000263</t>
  </si>
  <si>
    <t>18,15</t>
  </si>
  <si>
    <t>18,11</t>
  </si>
  <si>
    <t>Наименование показателя</t>
  </si>
  <si>
    <t>00000000000000000242</t>
  </si>
  <si>
    <t>Услуги связи</t>
  </si>
  <si>
    <t>18,1</t>
  </si>
  <si>
    <t>18,17</t>
  </si>
  <si>
    <t>18,19</t>
  </si>
  <si>
    <t>00000000000000000221</t>
  </si>
  <si>
    <t>18,9</t>
  </si>
  <si>
    <t>МЕСЯЧНЫЙ ОТЧЕТ ОБ ИСПОЛНЕНИИ БЮДЖЕТА</t>
  </si>
  <si>
    <t>18,7</t>
  </si>
  <si>
    <t>00000000000000000200</t>
  </si>
  <si>
    <t>00000000000000000240</t>
  </si>
  <si>
    <t>Увеличение стоимости материальных запасов</t>
  </si>
  <si>
    <t>18,3</t>
  </si>
  <si>
    <t>13  13 Суммы, подлежащие исключению Консолид. Исполнено</t>
  </si>
  <si>
    <t>18,13</t>
  </si>
  <si>
    <t xml:space="preserve"> </t>
  </si>
  <si>
    <t>00000000000000000225</t>
  </si>
  <si>
    <t>Поступление нефинансовых активов</t>
  </si>
  <si>
    <t>18,20</t>
  </si>
  <si>
    <t>00000000000000000310</t>
  </si>
  <si>
    <t>Прочие услуги</t>
  </si>
  <si>
    <t>18,41</t>
  </si>
  <si>
    <t>Коммунальные услуги</t>
  </si>
  <si>
    <t>Начисления на оплату труда</t>
  </si>
  <si>
    <t>18,24</t>
  </si>
  <si>
    <t>Ед. измерения: отчета -  руб.</t>
  </si>
  <si>
    <t>00000000000000000212</t>
  </si>
  <si>
    <t>Услуги по содержанию имущества</t>
  </si>
  <si>
    <t>Код показателя</t>
  </si>
  <si>
    <t>00096000000000000000</t>
  </si>
  <si>
    <t>00000000000000000231</t>
  </si>
  <si>
    <t>Увеличение стоимости основных средств</t>
  </si>
  <si>
    <t>Прочие расходы</t>
  </si>
  <si>
    <t>18,28</t>
  </si>
  <si>
    <t>00000000000000000210</t>
  </si>
  <si>
    <t>Расходы бюджета - ИТОГО</t>
  </si>
  <si>
    <t>18,26</t>
  </si>
  <si>
    <t>00000000000000000250</t>
  </si>
  <si>
    <t>00000000000000000290</t>
  </si>
  <si>
    <t>Перечисления другим бюджетам бюджетной системы Российской Федерации</t>
  </si>
  <si>
    <t>Расходы бюджета (краткие) на 01.05.2012</t>
  </si>
  <si>
    <t>Начальник отдела финансов</t>
  </si>
  <si>
    <t>Главный бухгалтер</t>
  </si>
  <si>
    <t>Е.Н.Гусева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</si>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</sst>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7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167" fontId="4" fillId="0" borderId="0" xfId="0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60" workbookViewId="0" topLeftCell="A25">
      <selection activeCell="H32" sqref="H32"/>
    </sheetView>
  </sheetViews>
  <sheetFormatPr defaultColWidth="9.140625" defaultRowHeight="12.75"/>
  <cols>
    <col min="1" max="1" width="6.28125" style="0" customWidth="1"/>
    <col min="2" max="2" width="21.140625" style="0" customWidth="1"/>
    <col min="3" max="3" width="17.7109375" style="0" customWidth="1"/>
    <col min="4" max="5" width="14.00390625" style="0" customWidth="1"/>
    <col min="6" max="6" width="16.00390625" style="0" customWidth="1"/>
    <col min="7" max="7" width="16.28125" style="0" customWidth="1"/>
    <col min="8" max="8" width="15.57421875" style="0" customWidth="1"/>
    <col min="9" max="9" width="14.421875" style="0" customWidth="1"/>
    <col min="10" max="10" width="15.140625" style="0" customWidth="1"/>
    <col min="11" max="11" width="13.140625" style="0" customWidth="1"/>
  </cols>
  <sheetData>
    <row r="1" spans="1:11" ht="12.75">
      <c r="A1" s="2"/>
      <c r="B1" s="3"/>
      <c r="C1" s="3"/>
      <c r="D1" s="3"/>
      <c r="E1" s="4" t="s">
        <v>71</v>
      </c>
      <c r="F1" s="3"/>
      <c r="G1" s="3"/>
      <c r="H1" s="3"/>
      <c r="I1" s="5" t="s">
        <v>89</v>
      </c>
      <c r="J1" s="3"/>
      <c r="K1" s="3"/>
    </row>
    <row r="2" spans="1:11" ht="12.75">
      <c r="A2" s="2"/>
      <c r="B2" s="3"/>
      <c r="C2" s="3"/>
      <c r="D2" s="3"/>
      <c r="E2" s="16" t="s">
        <v>104</v>
      </c>
      <c r="F2" s="3"/>
      <c r="G2" s="3"/>
      <c r="H2" s="3"/>
      <c r="I2" s="5" t="s">
        <v>50</v>
      </c>
      <c r="J2" s="3"/>
      <c r="K2" s="3"/>
    </row>
    <row r="3" spans="1:11" ht="12.75">
      <c r="A3" s="2" t="s">
        <v>79</v>
      </c>
      <c r="B3" s="3"/>
      <c r="C3" s="3"/>
      <c r="D3" s="3"/>
      <c r="E3" s="4" t="s">
        <v>1</v>
      </c>
      <c r="F3" s="3"/>
      <c r="G3" s="3"/>
      <c r="H3" s="3"/>
      <c r="I3" s="2" t="s">
        <v>79</v>
      </c>
      <c r="J3" s="3"/>
      <c r="K3" s="3"/>
    </row>
    <row r="4" spans="1:11" ht="72">
      <c r="A4" s="1" t="s">
        <v>22</v>
      </c>
      <c r="B4" s="1" t="s">
        <v>92</v>
      </c>
      <c r="C4" s="1" t="s">
        <v>63</v>
      </c>
      <c r="D4" s="1" t="s">
        <v>49</v>
      </c>
      <c r="E4" s="1" t="s">
        <v>33</v>
      </c>
      <c r="F4" s="1" t="s">
        <v>17</v>
      </c>
      <c r="G4" s="1" t="s">
        <v>35</v>
      </c>
      <c r="H4" s="1" t="s">
        <v>6</v>
      </c>
      <c r="I4" s="1" t="s">
        <v>77</v>
      </c>
      <c r="J4" s="1" t="s">
        <v>2</v>
      </c>
      <c r="K4" s="1" t="s">
        <v>16</v>
      </c>
    </row>
    <row r="5" spans="1:11" ht="25.5">
      <c r="A5" s="6" t="s">
        <v>66</v>
      </c>
      <c r="B5" s="7" t="s">
        <v>93</v>
      </c>
      <c r="C5" s="7" t="s">
        <v>99</v>
      </c>
      <c r="D5" s="8">
        <f>ROUND(953875575.12,2)</f>
        <v>953875575.12</v>
      </c>
      <c r="E5" s="8">
        <f>ROUND(95768216,2)</f>
        <v>95768216</v>
      </c>
      <c r="F5" s="8">
        <f>ROUND(855501474.32,2)</f>
        <v>855501474.32</v>
      </c>
      <c r="G5" s="8">
        <f>ROUND(194142316.8,2)</f>
        <v>194142316.8</v>
      </c>
      <c r="H5" s="8">
        <f>ROUND(163880537.18,2)</f>
        <v>163880537.18</v>
      </c>
      <c r="I5" s="8">
        <f>ROUND(17339350.86,2)</f>
        <v>17339350.86</v>
      </c>
      <c r="J5" s="8">
        <f>ROUND(137737570.4,2)</f>
        <v>137737570.4</v>
      </c>
      <c r="K5" s="8">
        <f>ROUND(43482317.64,2)</f>
        <v>43482317.64</v>
      </c>
    </row>
    <row r="6" spans="1:11" ht="25.5">
      <c r="A6" s="6" t="s">
        <v>15</v>
      </c>
      <c r="B6" s="7" t="s">
        <v>73</v>
      </c>
      <c r="C6" s="7" t="s">
        <v>8</v>
      </c>
      <c r="D6" s="8">
        <f>ROUND(491072764.86,2)</f>
        <v>491072764.86</v>
      </c>
      <c r="E6" s="8">
        <f>ROUND(95768216,2)</f>
        <v>95768216</v>
      </c>
      <c r="F6" s="8">
        <f>ROUND(430816290.06,2)</f>
        <v>430816290.06</v>
      </c>
      <c r="G6" s="8">
        <f>ROUND(156024690.8,2)</f>
        <v>156024690.8</v>
      </c>
      <c r="H6" s="8">
        <f>ROUND(140378037.31,2)</f>
        <v>140378037.31</v>
      </c>
      <c r="I6" s="8">
        <f>ROUND(17339350.86,2)</f>
        <v>17339350.86</v>
      </c>
      <c r="J6" s="8">
        <f>ROUND(119120924.04,2)</f>
        <v>119120924.04</v>
      </c>
      <c r="K6" s="8">
        <f>ROUND(38596464.13,2)</f>
        <v>38596464.13</v>
      </c>
    </row>
    <row r="7" spans="1:11" ht="38.25">
      <c r="A7" s="6" t="s">
        <v>76</v>
      </c>
      <c r="B7" s="7" t="s">
        <v>98</v>
      </c>
      <c r="C7" s="7" t="s">
        <v>44</v>
      </c>
      <c r="D7" s="8">
        <f>ROUND(299660713,2)</f>
        <v>299660713</v>
      </c>
      <c r="E7" s="8">
        <f aca="true" t="shared" si="0" ref="E7:E22">ROUND(0,2)</f>
        <v>0</v>
      </c>
      <c r="F7" s="8">
        <f>ROUND(215470469,2)</f>
        <v>215470469</v>
      </c>
      <c r="G7" s="8">
        <f>ROUND(84190244,2)</f>
        <v>84190244</v>
      </c>
      <c r="H7" s="8">
        <f>ROUND(84352551.48,2)</f>
        <v>84352551.48</v>
      </c>
      <c r="I7" s="8">
        <f aca="true" t="shared" si="1" ref="I7:I22">ROUND(0,2)</f>
        <v>0</v>
      </c>
      <c r="J7" s="8">
        <f>ROUND(61061456.98,2)</f>
        <v>61061456.98</v>
      </c>
      <c r="K7" s="8">
        <f>ROUND(23291094.5,2)</f>
        <v>23291094.5</v>
      </c>
    </row>
    <row r="8" spans="1:11" ht="25.5">
      <c r="A8" s="6" t="s">
        <v>7</v>
      </c>
      <c r="B8" s="7" t="s">
        <v>40</v>
      </c>
      <c r="C8" s="7" t="s">
        <v>24</v>
      </c>
      <c r="D8" s="8">
        <f>ROUND(227524371.37,2)</f>
        <v>227524371.37</v>
      </c>
      <c r="E8" s="8">
        <f t="shared" si="0"/>
        <v>0</v>
      </c>
      <c r="F8" s="8">
        <f>ROUND(162960201.37,2)</f>
        <v>162960201.37</v>
      </c>
      <c r="G8" s="8">
        <f>ROUND(64564170,2)</f>
        <v>64564170</v>
      </c>
      <c r="H8" s="8">
        <f>ROUND(67285139.56,2)</f>
        <v>67285139.56</v>
      </c>
      <c r="I8" s="8">
        <f t="shared" si="1"/>
        <v>0</v>
      </c>
      <c r="J8" s="8">
        <f>ROUND(49058328.87,2)</f>
        <v>49058328.87</v>
      </c>
      <c r="K8" s="8">
        <f>ROUND(18226810.69,2)</f>
        <v>18226810.69</v>
      </c>
    </row>
    <row r="9" spans="1:11" ht="25.5">
      <c r="A9" s="6" t="s">
        <v>53</v>
      </c>
      <c r="B9" s="7" t="s">
        <v>90</v>
      </c>
      <c r="C9" s="7" t="s">
        <v>30</v>
      </c>
      <c r="D9" s="8">
        <f>ROUND(2871590,2)</f>
        <v>2871590</v>
      </c>
      <c r="E9" s="8">
        <f t="shared" si="0"/>
        <v>0</v>
      </c>
      <c r="F9" s="8">
        <f>ROUND(2768590,2)</f>
        <v>2768590</v>
      </c>
      <c r="G9" s="8">
        <f>ROUND(103000,2)</f>
        <v>103000</v>
      </c>
      <c r="H9" s="8">
        <f>ROUND(161070,2)</f>
        <v>161070</v>
      </c>
      <c r="I9" s="8">
        <f t="shared" si="1"/>
        <v>0</v>
      </c>
      <c r="J9" s="8">
        <f>ROUND(135770,2)</f>
        <v>135770</v>
      </c>
      <c r="K9" s="8">
        <f>ROUND(25300,2)</f>
        <v>25300</v>
      </c>
    </row>
    <row r="10" spans="1:11" ht="25.5">
      <c r="A10" s="6" t="s">
        <v>26</v>
      </c>
      <c r="B10" s="7" t="s">
        <v>32</v>
      </c>
      <c r="C10" s="7" t="s">
        <v>87</v>
      </c>
      <c r="D10" s="8">
        <f>ROUND(69264751.63,2)</f>
        <v>69264751.63</v>
      </c>
      <c r="E10" s="8">
        <f t="shared" si="0"/>
        <v>0</v>
      </c>
      <c r="F10" s="8">
        <f>ROUND(49741677.63,2)</f>
        <v>49741677.63</v>
      </c>
      <c r="G10" s="8">
        <f>ROUND(19523074,2)</f>
        <v>19523074</v>
      </c>
      <c r="H10" s="8">
        <f>ROUND(16906341.92,2)</f>
        <v>16906341.92</v>
      </c>
      <c r="I10" s="8">
        <f t="shared" si="1"/>
        <v>0</v>
      </c>
      <c r="J10" s="8">
        <f>ROUND(11867358.11,2)</f>
        <v>11867358.11</v>
      </c>
      <c r="K10" s="8">
        <f>ROUND(5038983.81,2)</f>
        <v>5038983.81</v>
      </c>
    </row>
    <row r="11" spans="1:11" ht="25.5">
      <c r="A11" s="6" t="s">
        <v>72</v>
      </c>
      <c r="B11" s="7" t="s">
        <v>20</v>
      </c>
      <c r="C11" s="7" t="s">
        <v>37</v>
      </c>
      <c r="D11" s="8">
        <f>ROUND(99335926.39,2)</f>
        <v>99335926.39</v>
      </c>
      <c r="E11" s="8">
        <f t="shared" si="0"/>
        <v>0</v>
      </c>
      <c r="F11" s="8">
        <f>ROUND(43674794.59,2)</f>
        <v>43674794.59</v>
      </c>
      <c r="G11" s="8">
        <f>ROUND(55661131.8,2)</f>
        <v>55661131.8</v>
      </c>
      <c r="H11" s="8">
        <f>ROUND(25940652.17,2)</f>
        <v>25940652.17</v>
      </c>
      <c r="I11" s="8">
        <f t="shared" si="1"/>
        <v>0</v>
      </c>
      <c r="J11" s="8">
        <f>ROUND(13079236.93,2)</f>
        <v>13079236.93</v>
      </c>
      <c r="K11" s="8">
        <f>ROUND(12861415.24,2)</f>
        <v>12861415.24</v>
      </c>
    </row>
    <row r="12" spans="1:11" ht="25.5">
      <c r="A12" s="6" t="s">
        <v>28</v>
      </c>
      <c r="B12" s="7" t="s">
        <v>69</v>
      </c>
      <c r="C12" s="7" t="s">
        <v>65</v>
      </c>
      <c r="D12" s="8">
        <f>ROUND(4047118,2)</f>
        <v>4047118</v>
      </c>
      <c r="E12" s="8">
        <f t="shared" si="0"/>
        <v>0</v>
      </c>
      <c r="F12" s="8">
        <f>ROUND(2832100,2)</f>
        <v>2832100</v>
      </c>
      <c r="G12" s="8">
        <f>ROUND(1215018,2)</f>
        <v>1215018</v>
      </c>
      <c r="H12" s="8">
        <f>ROUND(1563780.61,2)</f>
        <v>1563780.61</v>
      </c>
      <c r="I12" s="8">
        <f t="shared" si="1"/>
        <v>0</v>
      </c>
      <c r="J12" s="8">
        <f>ROUND(1158519.98,2)</f>
        <v>1158519.98</v>
      </c>
      <c r="K12" s="8">
        <f>ROUND(405260.63,2)</f>
        <v>405260.63</v>
      </c>
    </row>
    <row r="13" spans="1:11" ht="25.5">
      <c r="A13" s="6" t="s">
        <v>70</v>
      </c>
      <c r="B13" s="7" t="s">
        <v>12</v>
      </c>
      <c r="C13" s="7" t="s">
        <v>45</v>
      </c>
      <c r="D13" s="8">
        <f>ROUND(641144,2)</f>
        <v>641144</v>
      </c>
      <c r="E13" s="8">
        <f t="shared" si="0"/>
        <v>0</v>
      </c>
      <c r="F13" s="8">
        <f>ROUND(112600,2)</f>
        <v>112600</v>
      </c>
      <c r="G13" s="8">
        <f>ROUND(528544,2)</f>
        <v>528544</v>
      </c>
      <c r="H13" s="8">
        <f>ROUND(169908.64,2)</f>
        <v>169908.64</v>
      </c>
      <c r="I13" s="8">
        <f t="shared" si="1"/>
        <v>0</v>
      </c>
      <c r="J13" s="8">
        <f>ROUND(20371.8,2)</f>
        <v>20371.8</v>
      </c>
      <c r="K13" s="8">
        <f>ROUND(149536.84,2)</f>
        <v>149536.84</v>
      </c>
    </row>
    <row r="14" spans="1:11" ht="25.5">
      <c r="A14" s="6" t="s">
        <v>0</v>
      </c>
      <c r="B14" s="7" t="s">
        <v>57</v>
      </c>
      <c r="C14" s="7" t="s">
        <v>86</v>
      </c>
      <c r="D14" s="8">
        <f>ROUND(30676978,2)</f>
        <v>30676978</v>
      </c>
      <c r="E14" s="8">
        <f t="shared" si="0"/>
        <v>0</v>
      </c>
      <c r="F14" s="8">
        <f>ROUND(17480421,2)</f>
        <v>17480421</v>
      </c>
      <c r="G14" s="8">
        <f>ROUND(13196557,2)</f>
        <v>13196557</v>
      </c>
      <c r="H14" s="8">
        <f>ROUND(12463785.66,2)</f>
        <v>12463785.66</v>
      </c>
      <c r="I14" s="8">
        <f t="shared" si="1"/>
        <v>0</v>
      </c>
      <c r="J14" s="8">
        <f>ROUND(7513620.75,2)</f>
        <v>7513620.75</v>
      </c>
      <c r="K14" s="8">
        <f>ROUND(4950164.91,2)</f>
        <v>4950164.91</v>
      </c>
    </row>
    <row r="15" spans="1:11" ht="38.25">
      <c r="A15" s="6" t="s">
        <v>62</v>
      </c>
      <c r="B15" s="7" t="s">
        <v>18</v>
      </c>
      <c r="C15" s="7" t="s">
        <v>55</v>
      </c>
      <c r="D15" s="8">
        <f>ROUND(44400,2)</f>
        <v>44400</v>
      </c>
      <c r="E15" s="8">
        <f t="shared" si="0"/>
        <v>0</v>
      </c>
      <c r="F15" s="8">
        <f>ROUND(0,2)</f>
        <v>0</v>
      </c>
      <c r="G15" s="8">
        <f>ROUND(44400,2)</f>
        <v>44400</v>
      </c>
      <c r="H15" s="8">
        <f>ROUND(0,2)</f>
        <v>0</v>
      </c>
      <c r="I15" s="8">
        <f t="shared" si="1"/>
        <v>0</v>
      </c>
      <c r="J15" s="8">
        <f>ROUND(0,2)</f>
        <v>0</v>
      </c>
      <c r="K15" s="8">
        <f>ROUND(0,2)</f>
        <v>0</v>
      </c>
    </row>
    <row r="16" spans="1:11" ht="38.25">
      <c r="A16" s="6" t="s">
        <v>19</v>
      </c>
      <c r="B16" s="7" t="s">
        <v>80</v>
      </c>
      <c r="C16" s="7" t="s">
        <v>91</v>
      </c>
      <c r="D16" s="8">
        <f>ROUND(41153783.49,2)</f>
        <v>41153783.49</v>
      </c>
      <c r="E16" s="8">
        <f t="shared" si="0"/>
        <v>0</v>
      </c>
      <c r="F16" s="8">
        <f>ROUND(11024950,2)</f>
        <v>11024950</v>
      </c>
      <c r="G16" s="8">
        <f>ROUND(30128833.49,2)</f>
        <v>30128833.49</v>
      </c>
      <c r="H16" s="8">
        <f>ROUND(3803819.54,2)</f>
        <v>3803819.54</v>
      </c>
      <c r="I16" s="8">
        <f t="shared" si="1"/>
        <v>0</v>
      </c>
      <c r="J16" s="8">
        <f>ROUND(542468.44,2)</f>
        <v>542468.44</v>
      </c>
      <c r="K16" s="8">
        <f>ROUND(3261351.1,2)</f>
        <v>3261351.1</v>
      </c>
    </row>
    <row r="17" spans="1:11" ht="25.5">
      <c r="A17" s="6" t="s">
        <v>78</v>
      </c>
      <c r="B17" s="7" t="s">
        <v>3</v>
      </c>
      <c r="C17" s="7" t="s">
        <v>84</v>
      </c>
      <c r="D17" s="8">
        <f>ROUND(22772502.9,2)</f>
        <v>22772502.9</v>
      </c>
      <c r="E17" s="8">
        <f t="shared" si="0"/>
        <v>0</v>
      </c>
      <c r="F17" s="8">
        <f>ROUND(12224723.59,2)</f>
        <v>12224723.59</v>
      </c>
      <c r="G17" s="8">
        <f>ROUND(10547779.31,2)</f>
        <v>10547779.31</v>
      </c>
      <c r="H17" s="8">
        <f>ROUND(7939357.72,2)</f>
        <v>7939357.72</v>
      </c>
      <c r="I17" s="8">
        <f t="shared" si="1"/>
        <v>0</v>
      </c>
      <c r="J17" s="8">
        <f>ROUND(3844255.96,2)</f>
        <v>3844255.96</v>
      </c>
      <c r="K17" s="8">
        <f>ROUND(4095101.76,2)</f>
        <v>4095101.76</v>
      </c>
    </row>
    <row r="18" spans="1:11" ht="38.25">
      <c r="A18" s="6" t="s">
        <v>10</v>
      </c>
      <c r="B18" s="7" t="s">
        <v>46</v>
      </c>
      <c r="C18" s="7" t="s">
        <v>59</v>
      </c>
      <c r="D18" s="8">
        <f>ROUND(85000,2)</f>
        <v>85000</v>
      </c>
      <c r="E18" s="8">
        <f t="shared" si="0"/>
        <v>0</v>
      </c>
      <c r="F18" s="8">
        <f>ROUND(0,2)</f>
        <v>0</v>
      </c>
      <c r="G18" s="8">
        <f>ROUND(85000,2)</f>
        <v>85000</v>
      </c>
      <c r="H18" s="8">
        <f>ROUND(0,2)</f>
        <v>0</v>
      </c>
      <c r="I18" s="8">
        <f t="shared" si="1"/>
        <v>0</v>
      </c>
      <c r="J18" s="8">
        <f>ROUND(0,2)</f>
        <v>0</v>
      </c>
      <c r="K18" s="8">
        <f>ROUND(0,2)</f>
        <v>0</v>
      </c>
    </row>
    <row r="19" spans="1:11" ht="51">
      <c r="A19" s="6" t="s">
        <v>61</v>
      </c>
      <c r="B19" s="7" t="s">
        <v>94</v>
      </c>
      <c r="C19" s="7" t="s">
        <v>4</v>
      </c>
      <c r="D19" s="8">
        <f>ROUND(85000,2)</f>
        <v>85000</v>
      </c>
      <c r="E19" s="8">
        <f t="shared" si="0"/>
        <v>0</v>
      </c>
      <c r="F19" s="8">
        <f>ROUND(0,2)</f>
        <v>0</v>
      </c>
      <c r="G19" s="8">
        <f>ROUND(85000,2)</f>
        <v>85000</v>
      </c>
      <c r="H19" s="8">
        <f>ROUND(0,2)</f>
        <v>0</v>
      </c>
      <c r="I19" s="8">
        <f t="shared" si="1"/>
        <v>0</v>
      </c>
      <c r="J19" s="8">
        <f>ROUND(0,2)</f>
        <v>0</v>
      </c>
      <c r="K19" s="8">
        <f>ROUND(0,2)</f>
        <v>0</v>
      </c>
    </row>
    <row r="20" spans="1:11" ht="51">
      <c r="A20" s="6" t="s">
        <v>67</v>
      </c>
      <c r="B20" s="7" t="s">
        <v>74</v>
      </c>
      <c r="C20" s="7" t="s">
        <v>47</v>
      </c>
      <c r="D20" s="8">
        <f>ROUND(70422367.72,2)</f>
        <v>70422367.72</v>
      </c>
      <c r="E20" s="8">
        <f t="shared" si="0"/>
        <v>0</v>
      </c>
      <c r="F20" s="8">
        <f>ROUND(58394428.72,2)</f>
        <v>58394428.72</v>
      </c>
      <c r="G20" s="8">
        <f>ROUND(12027939,2)</f>
        <v>12027939</v>
      </c>
      <c r="H20" s="8">
        <f>ROUND(20808543.11,2)</f>
        <v>20808543.11</v>
      </c>
      <c r="I20" s="8">
        <f t="shared" si="1"/>
        <v>0</v>
      </c>
      <c r="J20" s="8">
        <f>ROUND(20808543.11,2)</f>
        <v>20808543.11</v>
      </c>
      <c r="K20" s="8">
        <f>ROUND(0,2)</f>
        <v>0</v>
      </c>
    </row>
    <row r="21" spans="1:11" ht="76.5">
      <c r="A21" s="6" t="s">
        <v>21</v>
      </c>
      <c r="B21" s="7" t="s">
        <v>14</v>
      </c>
      <c r="C21" s="7" t="s">
        <v>56</v>
      </c>
      <c r="D21" s="8">
        <f>ROUND(57152428.72,2)</f>
        <v>57152428.72</v>
      </c>
      <c r="E21" s="8">
        <f t="shared" si="0"/>
        <v>0</v>
      </c>
      <c r="F21" s="8">
        <f>ROUND(57152428.72,2)</f>
        <v>57152428.72</v>
      </c>
      <c r="G21" s="8">
        <f>ROUND(0,2)</f>
        <v>0</v>
      </c>
      <c r="H21" s="8">
        <f>ROUND(20155543.11,2)</f>
        <v>20155543.11</v>
      </c>
      <c r="I21" s="8">
        <f t="shared" si="1"/>
        <v>0</v>
      </c>
      <c r="J21" s="8">
        <f>ROUND(20155543.11,2)</f>
        <v>20155543.11</v>
      </c>
      <c r="K21" s="8">
        <f>ROUND(0,2)</f>
        <v>0</v>
      </c>
    </row>
    <row r="22" spans="1:11" ht="102">
      <c r="A22" s="6" t="s">
        <v>68</v>
      </c>
      <c r="B22" s="7" t="s">
        <v>64</v>
      </c>
      <c r="C22" s="7" t="s">
        <v>48</v>
      </c>
      <c r="D22" s="8">
        <f>ROUND(13269939,2)</f>
        <v>13269939</v>
      </c>
      <c r="E22" s="8">
        <f t="shared" si="0"/>
        <v>0</v>
      </c>
      <c r="F22" s="8">
        <f>ROUND(1242000,2)</f>
        <v>1242000</v>
      </c>
      <c r="G22" s="8">
        <f>ROUND(12027939,2)</f>
        <v>12027939</v>
      </c>
      <c r="H22" s="8">
        <f>ROUND(653000,2)</f>
        <v>653000</v>
      </c>
      <c r="I22" s="8">
        <f t="shared" si="1"/>
        <v>0</v>
      </c>
      <c r="J22" s="8">
        <f>ROUND(653000,2)</f>
        <v>653000</v>
      </c>
      <c r="K22" s="8">
        <f>ROUND(0,2)</f>
        <v>0</v>
      </c>
    </row>
    <row r="23" spans="1:11" ht="51">
      <c r="A23" s="6" t="s">
        <v>82</v>
      </c>
      <c r="B23" s="7" t="s">
        <v>101</v>
      </c>
      <c r="C23" s="7" t="s">
        <v>58</v>
      </c>
      <c r="D23" s="8">
        <f>ROUND(0,2)</f>
        <v>0</v>
      </c>
      <c r="E23" s="8">
        <f>ROUND(95768216,2)</f>
        <v>95768216</v>
      </c>
      <c r="F23" s="8">
        <f>ROUND(95768216,2)</f>
        <v>95768216</v>
      </c>
      <c r="G23" s="8">
        <f>ROUND(0,2)</f>
        <v>0</v>
      </c>
      <c r="H23" s="8">
        <f>ROUND(0,2)</f>
        <v>0</v>
      </c>
      <c r="I23" s="8">
        <f>ROUND(17339350.86,2)</f>
        <v>17339350.86</v>
      </c>
      <c r="J23" s="8">
        <f>ROUND(17339350.86,2)</f>
        <v>17339350.86</v>
      </c>
      <c r="K23" s="8">
        <f>ROUND(0,2)</f>
        <v>0</v>
      </c>
    </row>
    <row r="24" spans="1:11" ht="76.5">
      <c r="A24" s="6" t="s">
        <v>36</v>
      </c>
      <c r="B24" s="7" t="s">
        <v>39</v>
      </c>
      <c r="C24" s="7" t="s">
        <v>103</v>
      </c>
      <c r="D24" s="8">
        <f>ROUND(0,2)</f>
        <v>0</v>
      </c>
      <c r="E24" s="8">
        <f>ROUND(95768216,2)</f>
        <v>95768216</v>
      </c>
      <c r="F24" s="8">
        <f>ROUND(95768216,2)</f>
        <v>95768216</v>
      </c>
      <c r="G24" s="8">
        <f>ROUND(0,2)</f>
        <v>0</v>
      </c>
      <c r="H24" s="8">
        <f>ROUND(0,2)</f>
        <v>0</v>
      </c>
      <c r="I24" s="8">
        <f>ROUND(17339350.86,2)</f>
        <v>17339350.86</v>
      </c>
      <c r="J24" s="8">
        <f>ROUND(17339350.86,2)</f>
        <v>17339350.86</v>
      </c>
      <c r="K24" s="8">
        <f>ROUND(0,2)</f>
        <v>0</v>
      </c>
    </row>
    <row r="25" spans="1:11" ht="25.5">
      <c r="A25" s="6" t="s">
        <v>88</v>
      </c>
      <c r="B25" s="7" t="s">
        <v>23</v>
      </c>
      <c r="C25" s="7" t="s">
        <v>29</v>
      </c>
      <c r="D25" s="8">
        <f>ROUND(18337506,2)</f>
        <v>18337506</v>
      </c>
      <c r="E25" s="8">
        <f aca="true" t="shared" si="2" ref="E25:E31">ROUND(0,2)</f>
        <v>0</v>
      </c>
      <c r="F25" s="8">
        <f>ROUND(16406415,2)</f>
        <v>16406415</v>
      </c>
      <c r="G25" s="8">
        <f>ROUND(1931091,2)</f>
        <v>1931091</v>
      </c>
      <c r="H25" s="8">
        <f>ROUND(7901828.63,2)</f>
        <v>7901828.63</v>
      </c>
      <c r="I25" s="8">
        <f aca="true" t="shared" si="3" ref="I25:I31">ROUND(0,2)</f>
        <v>0</v>
      </c>
      <c r="J25" s="8">
        <f>ROUND(6415136.02,2)</f>
        <v>6415136.02</v>
      </c>
      <c r="K25" s="8">
        <f>ROUND(1486692.61,2)</f>
        <v>1486692.61</v>
      </c>
    </row>
    <row r="26" spans="1:11" ht="51">
      <c r="A26" s="6" t="s">
        <v>100</v>
      </c>
      <c r="B26" s="7" t="s">
        <v>9</v>
      </c>
      <c r="C26" s="7" t="s">
        <v>11</v>
      </c>
      <c r="D26" s="8">
        <f>ROUND(14547415,2)</f>
        <v>14547415</v>
      </c>
      <c r="E26" s="8">
        <f t="shared" si="2"/>
        <v>0</v>
      </c>
      <c r="F26" s="8">
        <f>ROUND(14406415,2)</f>
        <v>14406415</v>
      </c>
      <c r="G26" s="8">
        <f>ROUND(141000,2)</f>
        <v>141000</v>
      </c>
      <c r="H26" s="8">
        <f>ROUND(5640241.8,2)</f>
        <v>5640241.8</v>
      </c>
      <c r="I26" s="8">
        <f t="shared" si="3"/>
        <v>0</v>
      </c>
      <c r="J26" s="8">
        <f>ROUND(5549241.8,2)</f>
        <v>5549241.8</v>
      </c>
      <c r="K26" s="8">
        <f>ROUND(91000,2)</f>
        <v>91000</v>
      </c>
    </row>
    <row r="27" spans="1:11" ht="89.25">
      <c r="A27" s="6" t="s">
        <v>38</v>
      </c>
      <c r="B27" s="7" t="s">
        <v>60</v>
      </c>
      <c r="C27" s="7" t="s">
        <v>5</v>
      </c>
      <c r="D27" s="8">
        <f>ROUND(3790091,2)</f>
        <v>3790091</v>
      </c>
      <c r="E27" s="8">
        <f t="shared" si="2"/>
        <v>0</v>
      </c>
      <c r="F27" s="8">
        <f>ROUND(2000000,2)</f>
        <v>2000000</v>
      </c>
      <c r="G27" s="8">
        <f>ROUND(1790091,2)</f>
        <v>1790091</v>
      </c>
      <c r="H27" s="8">
        <f>ROUND(2261586.83,2)</f>
        <v>2261586.83</v>
      </c>
      <c r="I27" s="8">
        <f t="shared" si="3"/>
        <v>0</v>
      </c>
      <c r="J27" s="8">
        <f>ROUND(865894.22,2)</f>
        <v>865894.22</v>
      </c>
      <c r="K27" s="8">
        <f>ROUND(1395692.61,2)</f>
        <v>1395692.61</v>
      </c>
    </row>
    <row r="28" spans="1:11" ht="25.5">
      <c r="A28" s="6" t="s">
        <v>97</v>
      </c>
      <c r="B28" s="7" t="s">
        <v>102</v>
      </c>
      <c r="C28" s="7" t="s">
        <v>96</v>
      </c>
      <c r="D28" s="8">
        <f>ROUND(3231251.75,2)</f>
        <v>3231251.75</v>
      </c>
      <c r="E28" s="8">
        <f t="shared" si="2"/>
        <v>0</v>
      </c>
      <c r="F28" s="8">
        <f>ROUND(1101966.75,2)</f>
        <v>1101966.75</v>
      </c>
      <c r="G28" s="8">
        <f>ROUND(2129285,2)</f>
        <v>2129285</v>
      </c>
      <c r="H28" s="8">
        <f>ROUND(1374461.92,2)</f>
        <v>1374461.92</v>
      </c>
      <c r="I28" s="8">
        <f t="shared" si="3"/>
        <v>0</v>
      </c>
      <c r="J28" s="8">
        <f>ROUND(417200.14,2)</f>
        <v>417200.14</v>
      </c>
      <c r="K28" s="8">
        <f>ROUND(957261.78,2)</f>
        <v>957261.78</v>
      </c>
    </row>
    <row r="29" spans="1:11" ht="38.25">
      <c r="A29" s="6" t="s">
        <v>41</v>
      </c>
      <c r="B29" s="7" t="s">
        <v>54</v>
      </c>
      <c r="C29" s="7" t="s">
        <v>81</v>
      </c>
      <c r="D29" s="8">
        <f>ROUND(462802810.26,2)</f>
        <v>462802810.26</v>
      </c>
      <c r="E29" s="8">
        <f t="shared" si="2"/>
        <v>0</v>
      </c>
      <c r="F29" s="8">
        <f>ROUND(424685184.26,2)</f>
        <v>424685184.26</v>
      </c>
      <c r="G29" s="8">
        <f>ROUND(38117626,2)</f>
        <v>38117626</v>
      </c>
      <c r="H29" s="8">
        <f>ROUND(23502499.87,2)</f>
        <v>23502499.87</v>
      </c>
      <c r="I29" s="8">
        <f t="shared" si="3"/>
        <v>0</v>
      </c>
      <c r="J29" s="8">
        <f>ROUND(18616646.36,2)</f>
        <v>18616646.36</v>
      </c>
      <c r="K29" s="8">
        <f>ROUND(4885853.51,2)</f>
        <v>4885853.51</v>
      </c>
    </row>
    <row r="30" spans="1:11" ht="38.25">
      <c r="A30" s="6" t="s">
        <v>52</v>
      </c>
      <c r="B30" s="7" t="s">
        <v>83</v>
      </c>
      <c r="C30" s="7" t="s">
        <v>95</v>
      </c>
      <c r="D30" s="8">
        <f>ROUND(423716351.66,2)</f>
        <v>423716351.66</v>
      </c>
      <c r="E30" s="8">
        <f t="shared" si="2"/>
        <v>0</v>
      </c>
      <c r="F30" s="8">
        <f>ROUND(397561363.66,2)</f>
        <v>397561363.66</v>
      </c>
      <c r="G30" s="8">
        <f>ROUND(26154988,2)</f>
        <v>26154988</v>
      </c>
      <c r="H30" s="8">
        <f>ROUND(11417451.65,2)</f>
        <v>11417451.65</v>
      </c>
      <c r="I30" s="8">
        <f t="shared" si="3"/>
        <v>0</v>
      </c>
      <c r="J30" s="8">
        <f>ROUND(10299194.66,2)</f>
        <v>10299194.66</v>
      </c>
      <c r="K30" s="8">
        <f>ROUND(1118256.99,2)</f>
        <v>1118256.99</v>
      </c>
    </row>
    <row r="31" spans="1:11" ht="51">
      <c r="A31" s="6" t="s">
        <v>25</v>
      </c>
      <c r="B31" s="7" t="s">
        <v>51</v>
      </c>
      <c r="C31" s="7" t="s">
        <v>75</v>
      </c>
      <c r="D31" s="8">
        <f>ROUND(39086458.6,2)</f>
        <v>39086458.6</v>
      </c>
      <c r="E31" s="8">
        <f t="shared" si="2"/>
        <v>0</v>
      </c>
      <c r="F31" s="8">
        <f>ROUND(27123820.6,2)</f>
        <v>27123820.6</v>
      </c>
      <c r="G31" s="8">
        <f>ROUND(11962638,2)</f>
        <v>11962638</v>
      </c>
      <c r="H31" s="8">
        <f>ROUND(12085048.22,2)</f>
        <v>12085048.22</v>
      </c>
      <c r="I31" s="8">
        <f t="shared" si="3"/>
        <v>0</v>
      </c>
      <c r="J31" s="8">
        <f>ROUND(8317451.7,2)</f>
        <v>8317451.7</v>
      </c>
      <c r="K31" s="8">
        <f>ROUND(3767596.52,2)</f>
        <v>3767596.52</v>
      </c>
    </row>
    <row r="32" spans="1:11" ht="25.5">
      <c r="A32" s="6" t="s">
        <v>85</v>
      </c>
      <c r="B32" s="7" t="s">
        <v>34</v>
      </c>
      <c r="C32" s="7" t="s">
        <v>13</v>
      </c>
      <c r="D32" s="8">
        <f>ROUND(953875575.12,2)</f>
        <v>953875575.12</v>
      </c>
      <c r="E32" s="8">
        <f>ROUND(95768216,2)</f>
        <v>95768216</v>
      </c>
      <c r="F32" s="8">
        <f>ROUND(855501474.32,2)</f>
        <v>855501474.32</v>
      </c>
      <c r="G32" s="8">
        <f>ROUND(194142316.8,2)</f>
        <v>194142316.8</v>
      </c>
      <c r="H32" s="8">
        <f>ROUND(163880537.18,2)</f>
        <v>163880537.18</v>
      </c>
      <c r="I32" s="8">
        <f>ROUND(17339350.86,2)</f>
        <v>17339350.86</v>
      </c>
      <c r="J32" s="8">
        <f>ROUND(137737570.4,2)</f>
        <v>137737570.4</v>
      </c>
      <c r="K32" s="8">
        <f>ROUND(43482317.64,2)</f>
        <v>43482317.64</v>
      </c>
    </row>
    <row r="33" spans="1:11" ht="63.75">
      <c r="A33" s="6" t="s">
        <v>43</v>
      </c>
      <c r="B33" s="7" t="s">
        <v>31</v>
      </c>
      <c r="C33" s="7" t="s">
        <v>27</v>
      </c>
      <c r="D33" s="8">
        <f>ROUND(-18332501.63,2)</f>
        <v>-18332501.63</v>
      </c>
      <c r="E33" s="8">
        <f>ROUND(0,2)</f>
        <v>0</v>
      </c>
      <c r="F33" s="8">
        <f>ROUND(-11165281.32,2)</f>
        <v>-11165281.32</v>
      </c>
      <c r="G33" s="8">
        <f>ROUND(-7167220.31,2)</f>
        <v>-7167220.31</v>
      </c>
      <c r="H33" s="8">
        <f>ROUND(33583173.48,2)</f>
        <v>33583173.48</v>
      </c>
      <c r="I33" s="8">
        <f>ROUND(0,2)</f>
        <v>0</v>
      </c>
      <c r="J33" s="8">
        <f>ROUND(30097039.16,2)</f>
        <v>30097039.16</v>
      </c>
      <c r="K33" s="8">
        <f>ROUND(3486134.32,2)</f>
        <v>3486134.32</v>
      </c>
    </row>
    <row r="34" spans="1:11" ht="12.75">
      <c r="A34" s="9" t="s">
        <v>79</v>
      </c>
      <c r="B34" s="10"/>
      <c r="C34" s="10"/>
      <c r="D34" s="10"/>
      <c r="E34" s="9" t="s">
        <v>79</v>
      </c>
      <c r="F34" s="10"/>
      <c r="G34" s="10"/>
      <c r="H34" s="10"/>
      <c r="I34" s="9" t="s">
        <v>79</v>
      </c>
      <c r="J34" s="10"/>
      <c r="K34" s="10"/>
    </row>
    <row r="35" spans="1:11" ht="12.75">
      <c r="A35" s="11" t="s">
        <v>105</v>
      </c>
      <c r="B35" s="12"/>
      <c r="C35" s="12"/>
      <c r="D35" s="12"/>
      <c r="E35" s="13" t="s">
        <v>42</v>
      </c>
      <c r="F35" s="12"/>
      <c r="G35" s="12"/>
      <c r="H35" s="12"/>
      <c r="I35" s="14" t="s">
        <v>107</v>
      </c>
      <c r="J35" s="12"/>
      <c r="K35" s="12"/>
    </row>
    <row r="36" spans="1:11" ht="12.75">
      <c r="A36" s="11" t="s">
        <v>79</v>
      </c>
      <c r="B36" s="12"/>
      <c r="C36" s="12"/>
      <c r="D36" s="12"/>
      <c r="E36" s="11" t="s">
        <v>79</v>
      </c>
      <c r="F36" s="12"/>
      <c r="G36" s="12"/>
      <c r="H36" s="12"/>
      <c r="I36" s="9" t="s">
        <v>79</v>
      </c>
      <c r="J36" s="10"/>
      <c r="K36" s="10"/>
    </row>
    <row r="37" spans="1:11" ht="12.75">
      <c r="A37" s="11" t="s">
        <v>106</v>
      </c>
      <c r="B37" s="12"/>
      <c r="C37" s="12"/>
      <c r="D37" s="12"/>
      <c r="E37" s="13" t="s">
        <v>42</v>
      </c>
      <c r="F37" s="12"/>
      <c r="G37" s="12"/>
      <c r="H37" s="12"/>
      <c r="I37" s="14" t="s">
        <v>108</v>
      </c>
      <c r="J37" s="12"/>
      <c r="K37" s="12"/>
    </row>
    <row r="38" spans="1:1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</sheetData>
  <mergeCells count="21">
    <mergeCell ref="I35:K35"/>
    <mergeCell ref="I36:K36"/>
    <mergeCell ref="I37:K37"/>
    <mergeCell ref="A35:D35"/>
    <mergeCell ref="A36:D36"/>
    <mergeCell ref="A37:D37"/>
    <mergeCell ref="E34:H34"/>
    <mergeCell ref="E35:H35"/>
    <mergeCell ref="E36:H36"/>
    <mergeCell ref="E37:H37"/>
    <mergeCell ref="I1:K1"/>
    <mergeCell ref="I2:K2"/>
    <mergeCell ref="I3:K3"/>
    <mergeCell ref="A34:D34"/>
    <mergeCell ref="I34:K34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81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2012-05-14T11:07:20Z</cp:lastPrinted>
  <dcterms:created xsi:type="dcterms:W3CDTF">2012-05-14T11:07:39Z</dcterms:created>
  <dcterms:modified xsi:type="dcterms:W3CDTF">2012-05-14T11:07:39Z</dcterms:modified>
  <cp:category/>
  <cp:version/>
  <cp:contentType/>
  <cp:contentStatus/>
</cp:coreProperties>
</file>