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<sst xmlns="http://schemas.openxmlformats.org/spreadsheetml/2006/main" count="1414" uniqueCount="1044">
  <si>
    <t>000  0709  0000000  000  310</t>
  </si>
  <si>
    <t>000  0700  0000000  000  220</t>
  </si>
  <si>
    <t>000  0300  0000000  000  220</t>
  </si>
  <si>
    <t>6,103</t>
  </si>
  <si>
    <t>4,7</t>
  </si>
  <si>
    <t>ВСЕГО по Новохоперскому району</t>
  </si>
  <si>
    <t>5,208</t>
  </si>
  <si>
    <t>000  0900  0000000  000  200</t>
  </si>
  <si>
    <t>000  0500  0000000  000  200</t>
  </si>
  <si>
    <t>000  0100  0000000  000  200</t>
  </si>
  <si>
    <t>10,89</t>
  </si>
  <si>
    <t>5,1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</si>
  <si>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</si>
  <si>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</si>
  <si>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</si>
  <si>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</si>
  <si>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</si>
  <si>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6,10</t>
  </si>
  <si>
    <t>4,328</t>
  </si>
  <si>
    <t>3,115</t>
  </si>
  <si>
    <t>10,87</t>
  </si>
  <si>
    <t>8,328</t>
  </si>
  <si>
    <t>за счет средств местных бюджетов</t>
  </si>
  <si>
    <t>000  0900  0000000  000  240</t>
  </si>
  <si>
    <t>000  0801  0000000  000  220</t>
  </si>
  <si>
    <t>8,56</t>
  </si>
  <si>
    <t>7,29</t>
  </si>
  <si>
    <t>4,383</t>
  </si>
  <si>
    <t>000 500 024</t>
  </si>
  <si>
    <t>9,21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</si>
  <si>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</si>
  <si>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</si>
  <si>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</si>
  <si>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</si>
  <si>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</si>
  <si>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</si>
  <si>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</si>
  <si>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</si>
  <si>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</si>
  <si>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</si>
  <si>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</si>
  <si>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</si>
  <si>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</si>
  <si>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</si>
  <si>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</si>
  <si>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</si>
  <si>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4,30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</si>
  <si>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</si>
  <si>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</si>
  <si>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</si>
  <si>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</si>
  <si>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</si>
  <si>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</si>
  <si>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</si>
  <si>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</si>
  <si>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</si>
  <si>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</si>
  <si>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3,134</t>
  </si>
  <si>
    <t>000  0800  0000000  000  251</t>
  </si>
  <si>
    <t>000  0707  0000000  000  200</t>
  </si>
  <si>
    <t>000  0400  0000000  000  251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</si>
  <si>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</si>
  <si>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</si>
  <si>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</si>
  <si>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</si>
  <si>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</si>
  <si>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</si>
  <si>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</si>
  <si>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</si>
  <si>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</si>
  <si>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000  0203  0000000  000  224</t>
  </si>
  <si>
    <t>12,48</t>
  </si>
  <si>
    <t>5,441</t>
  </si>
  <si>
    <t>3,6</t>
  </si>
  <si>
    <t>11,1</t>
  </si>
  <si>
    <t>6,71</t>
  </si>
  <si>
    <t>3,8</t>
  </si>
  <si>
    <t>000  0800  0000000  000  211</t>
  </si>
  <si>
    <t>8,79</t>
  </si>
  <si>
    <t>уплата разного рода платежей, сборов, государственных пошлин, лицензий</t>
  </si>
  <si>
    <t>000  0502  0000000  000  224</t>
  </si>
  <si>
    <t>000  0400  0000000  000  211</t>
  </si>
  <si>
    <t>000  1401  0000000  000  250</t>
  </si>
  <si>
    <t>Молодежная политика и оздоровление детей</t>
  </si>
  <si>
    <t>2,248</t>
  </si>
  <si>
    <t>500,8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</si>
  <si>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</si>
  <si>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</si>
  <si>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</si>
  <si>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</si>
  <si>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</si>
  <si>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</si>
  <si>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</si>
  <si>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</si>
  <si>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</si>
  <si>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</si>
  <si>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</si>
  <si>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</si>
  <si>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</si>
  <si>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</si>
  <si>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</si>
  <si>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</si>
  <si>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</si>
  <si>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12,63</t>
  </si>
  <si>
    <t>6,107</t>
  </si>
  <si>
    <t>4,3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</si>
  <si>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</si>
  <si>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</si>
  <si>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</si>
  <si>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</si>
  <si>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</si>
  <si>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</si>
  <si>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</si>
  <si>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8,322</t>
  </si>
  <si>
    <t>8,12</t>
  </si>
  <si>
    <t>5,28</t>
  </si>
  <si>
    <t>5,5</t>
  </si>
  <si>
    <t>Резервные фонды</t>
  </si>
  <si>
    <t>000  0902  0000000  000  241</t>
  </si>
  <si>
    <t>000  0310  0000000  000  200</t>
  </si>
  <si>
    <t>000  0505  0000000  000  200</t>
  </si>
  <si>
    <t>3,111</t>
  </si>
  <si>
    <t>Начисления на выплаты по оплате труда</t>
  </si>
  <si>
    <t>15,20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</si>
  <si>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</si>
  <si>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</si>
  <si>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</si>
  <si>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</si>
  <si>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</si>
  <si>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</si>
  <si>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</si>
  <si>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2,466</t>
  </si>
  <si>
    <t>2,114</t>
  </si>
  <si>
    <t>10,1</t>
  </si>
  <si>
    <t>2,8</t>
  </si>
  <si>
    <t>2,6</t>
  </si>
  <si>
    <t>17  17 Городские и сельские поселения Исполнено</t>
  </si>
  <si>
    <t>7  7 Муниципальные районы План на год</t>
  </si>
  <si>
    <t>в т.ч. за счет федеральных и областных средств</t>
  </si>
  <si>
    <t>Другие вопросы в области национальной безопасности и правоохранительной деятельности</t>
  </si>
  <si>
    <t>500,24</t>
  </si>
  <si>
    <t>9,48</t>
  </si>
  <si>
    <t>8,247</t>
  </si>
  <si>
    <t>6,37</t>
  </si>
  <si>
    <t>2,468</t>
  </si>
  <si>
    <t>000 500 003</t>
  </si>
  <si>
    <t>000  0405  0000000  000  213</t>
  </si>
  <si>
    <t>000  0203  0000000  000  222</t>
  </si>
  <si>
    <t>2,154</t>
  </si>
  <si>
    <t>000  1101  0000000  000  226</t>
  </si>
  <si>
    <t>8,71</t>
  </si>
  <si>
    <t>в т.ч. продукты питания</t>
  </si>
  <si>
    <t>11,212</t>
  </si>
  <si>
    <t>6,12</t>
  </si>
  <si>
    <t>3,117</t>
  </si>
  <si>
    <t>мягкий инвентарь</t>
  </si>
  <si>
    <t>11,106</t>
  </si>
  <si>
    <t>11,17</t>
  </si>
  <si>
    <t>5,20</t>
  </si>
  <si>
    <t>000  0801  0000000  000  222</t>
  </si>
  <si>
    <t>000  0505  0000000  000  300</t>
  </si>
  <si>
    <t>000  0501  0000000  000  000</t>
  </si>
  <si>
    <t>000  1000  0000000  000  263</t>
  </si>
  <si>
    <t>000  0900  0000000  000  242</t>
  </si>
  <si>
    <t>000  0901  0000000  000  000</t>
  </si>
  <si>
    <t>4,502</t>
  </si>
  <si>
    <t>5,204</t>
  </si>
  <si>
    <t>11,59</t>
  </si>
  <si>
    <t>000 500 026</t>
  </si>
  <si>
    <t>000  0605  0000000  000  310</t>
  </si>
  <si>
    <t>000  0314  0000000  000  000</t>
  </si>
  <si>
    <t>000  0310  0000000  000  300</t>
  </si>
  <si>
    <t>2,171</t>
  </si>
  <si>
    <t>000 500 028</t>
  </si>
  <si>
    <t>000  0804  0000000  000  226</t>
  </si>
  <si>
    <t>000  0700  0000000  000  222</t>
  </si>
  <si>
    <t>000  0600  0000000  000  000</t>
  </si>
  <si>
    <t>000  0200  0000000  000  000</t>
  </si>
  <si>
    <t>000  0104  0000000  000  310</t>
  </si>
  <si>
    <t>10,332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</si>
  <si>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</si>
  <si>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</si>
  <si>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</si>
  <si>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</si>
  <si>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</si>
  <si>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</si>
  <si>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</si>
  <si>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</si>
  <si>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11,13</t>
  </si>
  <si>
    <t>Заработная плата</t>
  </si>
  <si>
    <t>000  0500  0000000  000  340</t>
  </si>
  <si>
    <t>000  0100  0000000  000  340</t>
  </si>
  <si>
    <t>3,113</t>
  </si>
  <si>
    <t>горюче-смазочные материалы</t>
  </si>
  <si>
    <t>№ листа / № строки</t>
  </si>
  <si>
    <t>000  0801  0000000  000  226</t>
  </si>
  <si>
    <t>000  0605  0000000  000  000</t>
  </si>
  <si>
    <t>000  0314  0000000  000  310</t>
  </si>
  <si>
    <t>000  0103  0000000  000  213</t>
  </si>
  <si>
    <t>000  0600  0000000  000  310</t>
  </si>
  <si>
    <t>000  0200  0000000  000  310</t>
  </si>
  <si>
    <t>11,142</t>
  </si>
  <si>
    <t>2,29</t>
  </si>
  <si>
    <t>в т.ч. уплата налогов и сборов в бюджеты всех уровней</t>
  </si>
  <si>
    <t>4,13</t>
  </si>
  <si>
    <t>9,29</t>
  </si>
  <si>
    <t>000  0904  0000000  000  000</t>
  </si>
  <si>
    <t>000  0100  0000000  000  300</t>
  </si>
  <si>
    <t>000  0500  0000000  000  300</t>
  </si>
  <si>
    <t>000  0900  0000000  000  300</t>
  </si>
  <si>
    <t>000  0104  0000000  000  000</t>
  </si>
  <si>
    <t>000  0300  0000000  000  226</t>
  </si>
  <si>
    <t>000  0700  0000000  000  226</t>
  </si>
  <si>
    <t>4,1</t>
  </si>
  <si>
    <t>текущий ремонт и техническое обслуживание</t>
  </si>
  <si>
    <t>Безвозмездные перечисления бюджетам</t>
  </si>
  <si>
    <t>000  0702  0000000  000  223</t>
  </si>
  <si>
    <t>000  0104  0000000  000  212</t>
  </si>
  <si>
    <t>3,10</t>
  </si>
  <si>
    <t>000  0709  0000000  000  210</t>
  </si>
  <si>
    <t>000  0309  0000000  000  210</t>
  </si>
  <si>
    <t>8,10</t>
  </si>
  <si>
    <t>5,7</t>
  </si>
  <si>
    <t>000 500 009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</si>
  <si>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</si>
  <si>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</si>
  <si>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</si>
  <si>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</si>
  <si>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</si>
  <si>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</si>
  <si>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</si>
  <si>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</si>
  <si>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</si>
  <si>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</si>
  <si>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9,42</t>
  </si>
  <si>
    <t>3,138</t>
  </si>
  <si>
    <t>2,462</t>
  </si>
  <si>
    <t>2,110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</si>
  <si>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</si>
  <si>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</si>
  <si>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</si>
  <si>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</si>
  <si>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</si>
  <si>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</si>
  <si>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</si>
  <si>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</si>
  <si>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10,141</t>
  </si>
  <si>
    <t>12,176</t>
  </si>
  <si>
    <t>8,75</t>
  </si>
  <si>
    <t>000  1001  0000000  000  000</t>
  </si>
  <si>
    <t>000  1000  0000000  000  242</t>
  </si>
  <si>
    <t>000  1401  0000000  000  000</t>
  </si>
  <si>
    <t>4,523</t>
  </si>
  <si>
    <t>8,345</t>
  </si>
  <si>
    <t>500,4</t>
  </si>
  <si>
    <t>000  0709  0000000  000  290</t>
  </si>
  <si>
    <t>000  0701  0000000  000  213</t>
  </si>
  <si>
    <t>000  0603  0000000  000  226</t>
  </si>
  <si>
    <t>000  0203  0000000  000  226</t>
  </si>
  <si>
    <t>8,90</t>
  </si>
  <si>
    <t>7,106</t>
  </si>
  <si>
    <t>3,4</t>
  </si>
  <si>
    <t>2,150</t>
  </si>
  <si>
    <t>000  0901  0000000  000  240</t>
  </si>
  <si>
    <t>000  0800  0000000  000  220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</si>
  <si>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</si>
  <si>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</si>
  <si>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</si>
  <si>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</si>
  <si>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</si>
  <si>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000  0309  0000000  000  300</t>
  </si>
  <si>
    <t>000  0600  0000000  000  200</t>
  </si>
  <si>
    <t>000  0200  0000000  000  200</t>
  </si>
  <si>
    <t>000  0113  0000000  000  221</t>
  </si>
  <si>
    <t>000  0100  0000000  000  210</t>
  </si>
  <si>
    <t>15,91</t>
  </si>
  <si>
    <t>9,142</t>
  </si>
  <si>
    <t>Другие вопросы в области здравоохранения</t>
  </si>
  <si>
    <t>000  0901  0000000  000  200</t>
  </si>
  <si>
    <t>000  0501  0000000  000  200</t>
  </si>
  <si>
    <t>000  0709  0000000  000  340</t>
  </si>
  <si>
    <t>000  0314  0000000  000  200</t>
  </si>
  <si>
    <t>000  0309  0000000  000  340</t>
  </si>
  <si>
    <t>500,13</t>
  </si>
  <si>
    <t>12,37</t>
  </si>
  <si>
    <t>10,72</t>
  </si>
  <si>
    <t>000  0701  0000000  000  220</t>
  </si>
  <si>
    <t>7,135</t>
  </si>
  <si>
    <t>Прочие выплаты</t>
  </si>
  <si>
    <t>000  0702  0000000  000  290</t>
  </si>
  <si>
    <t>000  0500  0000000  000  250</t>
  </si>
  <si>
    <t>2,31</t>
  </si>
  <si>
    <t>000  0804  0000000  000  251</t>
  </si>
  <si>
    <t>000  0314  0000000  000  225</t>
  </si>
  <si>
    <t>8,5</t>
  </si>
  <si>
    <t>6,176</t>
  </si>
  <si>
    <t>2,108</t>
  </si>
  <si>
    <t>000  1402  0000000  000  251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</si>
  <si>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</si>
  <si>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</si>
  <si>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</si>
  <si>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</si>
  <si>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</si>
  <si>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</si>
  <si>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10,157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</si>
  <si>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</si>
  <si>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</si>
  <si>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</si>
  <si>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</si>
  <si>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</si>
  <si>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</si>
  <si>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4  4 Суммы, подлежащие исключению Консолид. План на год</t>
  </si>
  <si>
    <t>000  0702  0000000  000  250</t>
  </si>
  <si>
    <t>000 500 011</t>
  </si>
  <si>
    <t>2,146</t>
  </si>
  <si>
    <t>4,353</t>
  </si>
  <si>
    <t>6,138</t>
  </si>
  <si>
    <t>10,19</t>
  </si>
  <si>
    <t>000  0804  0000000  000  211</t>
  </si>
  <si>
    <t>10,17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</si>
  <si>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</si>
  <si>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</si>
  <si>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</si>
  <si>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</si>
  <si>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</si>
  <si>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</si>
  <si>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</si>
  <si>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</si>
  <si>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000  1401  0000000  000  200</t>
  </si>
  <si>
    <t>000  1001  0000000  000  200</t>
  </si>
  <si>
    <t>11,24</t>
  </si>
  <si>
    <t>8,319</t>
  </si>
  <si>
    <t>8,29</t>
  </si>
  <si>
    <t>5,188</t>
  </si>
  <si>
    <t>5,13</t>
  </si>
  <si>
    <t>000  0700  0000000  000  251</t>
  </si>
  <si>
    <t>500,32</t>
  </si>
  <si>
    <t>10,53</t>
  </si>
  <si>
    <t>8,1</t>
  </si>
  <si>
    <t>6,21</t>
  </si>
  <si>
    <t>4,319</t>
  </si>
  <si>
    <t>3,29</t>
  </si>
  <si>
    <t>000 500 015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</si>
  <si>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</si>
  <si>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</si>
  <si>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</si>
  <si>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</si>
  <si>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</si>
  <si>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</si>
  <si>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</si>
  <si>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</si>
  <si>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</si>
  <si>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</si>
  <si>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</si>
  <si>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</si>
  <si>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</si>
  <si>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</si>
  <si>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9,9</t>
  </si>
  <si>
    <t>4,492</t>
  </si>
  <si>
    <t>000  0700  0000000  000  211</t>
  </si>
  <si>
    <t>000  0300  0000000  000  211</t>
  </si>
  <si>
    <t>10,13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</si>
  <si>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</si>
  <si>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</si>
  <si>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</si>
  <si>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</si>
  <si>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</si>
  <si>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</si>
  <si>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</si>
  <si>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Иные дотации</t>
  </si>
  <si>
    <t>000  0505  0000000  000  250</t>
  </si>
  <si>
    <t>10,36</t>
  </si>
  <si>
    <t>6,117</t>
  </si>
  <si>
    <t>2,169</t>
  </si>
  <si>
    <t>Коммунальное хозяйство</t>
  </si>
  <si>
    <t>7,7</t>
  </si>
  <si>
    <t>000  1003  0000000  000  260</t>
  </si>
  <si>
    <t>9,146</t>
  </si>
  <si>
    <t>000  0904  0000000  000  200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</si>
  <si>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</si>
  <si>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</si>
  <si>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</si>
  <si>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</si>
  <si>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</si>
  <si>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</si>
  <si>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000  0310  0000000  000  210</t>
  </si>
  <si>
    <t>9,148</t>
  </si>
  <si>
    <t>8,42</t>
  </si>
  <si>
    <t>000 500 030</t>
  </si>
  <si>
    <t>000  0904  0000000  000  240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</si>
  <si>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</si>
  <si>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</si>
  <si>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</si>
  <si>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</si>
  <si>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</si>
  <si>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</si>
  <si>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</si>
  <si>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</si>
  <si>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</si>
  <si>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</si>
  <si>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000  0709  0000000  000  221</t>
  </si>
  <si>
    <t>8,21</t>
  </si>
  <si>
    <t>5,180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</si>
  <si>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</si>
  <si>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</si>
  <si>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</si>
  <si>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</si>
  <si>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</si>
  <si>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</si>
  <si>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</si>
  <si>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000  0909  0000000  000  241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</si>
  <si>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</si>
  <si>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</si>
  <si>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</si>
  <si>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</si>
  <si>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</si>
  <si>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</si>
  <si>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000 500 013</t>
  </si>
  <si>
    <t>000  0412  0000000  000  226</t>
  </si>
  <si>
    <t>7,112</t>
  </si>
  <si>
    <t>4,351</t>
  </si>
  <si>
    <t>2,144</t>
  </si>
  <si>
    <t>000  0104  0000000  000  340</t>
  </si>
  <si>
    <t>Общее образование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</si>
  <si>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</si>
  <si>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</si>
  <si>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</si>
  <si>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</si>
  <si>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</si>
  <si>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</si>
  <si>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</si>
  <si>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</si>
  <si>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</si>
  <si>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</si>
  <si>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</si>
  <si>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</si>
  <si>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8,44</t>
  </si>
  <si>
    <t>10,322</t>
  </si>
  <si>
    <t>000  0800  0000000  000  222</t>
  </si>
  <si>
    <t>000  0100  0000000  000  000</t>
  </si>
  <si>
    <t>000  0500  0000000  000  000</t>
  </si>
  <si>
    <t>000  1001  0000000  000  263</t>
  </si>
  <si>
    <t>000  0104  0000000  000  300</t>
  </si>
  <si>
    <t>000  0900  0000000  000  000</t>
  </si>
  <si>
    <t>7,1</t>
  </si>
  <si>
    <t>6,205</t>
  </si>
  <si>
    <t>10,30</t>
  </si>
  <si>
    <t>6,42</t>
  </si>
  <si>
    <t>000  0113  0000000  000  223</t>
  </si>
  <si>
    <t>6,7</t>
  </si>
  <si>
    <t>3,109</t>
  </si>
  <si>
    <t>000  0100  0000000  000  212</t>
  </si>
  <si>
    <t>500,15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</si>
  <si>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</si>
  <si>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</si>
  <si>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</si>
  <si>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</si>
  <si>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</si>
  <si>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</si>
  <si>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</si>
  <si>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</si>
  <si>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000 500 032</t>
  </si>
  <si>
    <t>000  0701  0000000  000  226</t>
  </si>
  <si>
    <t>000  0505  0000000  000  000</t>
  </si>
  <si>
    <t>000  0203  0000000  000  213</t>
  </si>
  <si>
    <t>9,37</t>
  </si>
  <si>
    <t>000  0909  0000000  000  220</t>
  </si>
  <si>
    <t>000  0900  0000000  000  310</t>
  </si>
  <si>
    <t>000  0500  0000000  000  310</t>
  </si>
  <si>
    <t>000  0100  0000000  000  310</t>
  </si>
  <si>
    <t>9,39</t>
  </si>
  <si>
    <t>6,115</t>
  </si>
  <si>
    <t>000  0800  0000000  000  226</t>
  </si>
  <si>
    <t>000  0600  0000000  000  300</t>
  </si>
  <si>
    <t>000  0400  0000000  000  226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</si>
  <si>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</si>
  <si>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</si>
  <si>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</si>
  <si>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</si>
  <si>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</si>
  <si>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</si>
  <si>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15,72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</si>
  <si>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</si>
  <si>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</si>
  <si>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</si>
  <si>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</si>
  <si>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</si>
  <si>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</si>
  <si>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</si>
  <si>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</si>
  <si>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</si>
  <si>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</si>
  <si>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</si>
  <si>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9,161</t>
  </si>
  <si>
    <t>11,26</t>
  </si>
  <si>
    <t>6,195</t>
  </si>
  <si>
    <t>500,30</t>
  </si>
  <si>
    <t>8,3</t>
  </si>
  <si>
    <t>000 500 017</t>
  </si>
  <si>
    <t>9,12</t>
  </si>
  <si>
    <t>8,80</t>
  </si>
  <si>
    <t>000  0801  0000000  000  213</t>
  </si>
  <si>
    <t>000  0707  0000000  000  000</t>
  </si>
  <si>
    <t>000  0503  0000000  000  226</t>
  </si>
  <si>
    <t>000  0103  0000000  000  226</t>
  </si>
  <si>
    <t>9,5</t>
  </si>
  <si>
    <t>8,65</t>
  </si>
  <si>
    <t>3  3 Консолидированный  План на год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</si>
  <si>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</si>
  <si>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</si>
  <si>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</si>
  <si>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</si>
  <si>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</si>
  <si>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</si>
  <si>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</si>
  <si>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00000000000000000340</t>
  </si>
  <si>
    <t>000  0701  0000000  000  250</t>
  </si>
  <si>
    <t>000  0113  0000000  000  211</t>
  </si>
  <si>
    <t>000  0103  0000000  000  290</t>
  </si>
  <si>
    <t>9,41</t>
  </si>
  <si>
    <t>2,113</t>
  </si>
  <si>
    <t>000  0700  0000000  000  200</t>
  </si>
  <si>
    <t>000  0300  0000000  000  200</t>
  </si>
  <si>
    <t>4,348</t>
  </si>
  <si>
    <t>3,9</t>
  </si>
  <si>
    <t>11,164</t>
  </si>
  <si>
    <t>000  0800  0000000  000  210</t>
  </si>
  <si>
    <t>8,78</t>
  </si>
  <si>
    <t>Скорая медицинская помощь</t>
  </si>
  <si>
    <t>000  0502  0000000  000  225</t>
  </si>
  <si>
    <t>000  0400  0000000  000  210</t>
  </si>
  <si>
    <t>000  1401  0000000  000  251</t>
  </si>
  <si>
    <t>8,348</t>
  </si>
  <si>
    <t>500,9</t>
  </si>
  <si>
    <t>000  0801  0000000  000  200</t>
  </si>
  <si>
    <t>500,7</t>
  </si>
  <si>
    <t>10,142</t>
  </si>
  <si>
    <t>8,76</t>
  </si>
  <si>
    <t>4,520</t>
  </si>
  <si>
    <t>2,247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</si>
  <si>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</si>
  <si>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</si>
  <si>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</si>
  <si>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</si>
  <si>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</si>
  <si>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</si>
  <si>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</si>
  <si>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Обеспечение пожарной безопасности</t>
  </si>
  <si>
    <t>Арендная плата за пользование имуществом</t>
  </si>
  <si>
    <t>Обеспечение проведения выборов и референдумов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</si>
  <si>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</si>
  <si>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</si>
  <si>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</si>
  <si>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</si>
  <si>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</si>
  <si>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</si>
  <si>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</si>
  <si>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</si>
  <si>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</si>
  <si>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</si>
  <si>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</si>
  <si>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</si>
  <si>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</si>
  <si>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000  0801  0000000  000  225</t>
  </si>
  <si>
    <t>000  0103  0000000  000  210</t>
  </si>
  <si>
    <t>5,203</t>
  </si>
  <si>
    <t>приобетение и модернизация оборудования</t>
  </si>
  <si>
    <t>000  0902  0000000  000  240</t>
  </si>
  <si>
    <t>Национальная оборона</t>
  </si>
  <si>
    <t>000  0800  0000000  000  290</t>
  </si>
  <si>
    <t>000  0400  0000000  000  290</t>
  </si>
  <si>
    <t>000  0702  0000000  000  220</t>
  </si>
  <si>
    <t>000  0104  0000000  000  211</t>
  </si>
  <si>
    <t>12,204</t>
  </si>
  <si>
    <t>9,64</t>
  </si>
  <si>
    <t>3,13</t>
  </si>
  <si>
    <t>000  0709  0000000  000  213</t>
  </si>
  <si>
    <t>000  0701  0000000  000  290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</si>
  <si>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</si>
  <si>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</si>
  <si>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</si>
  <si>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</si>
  <si>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</si>
  <si>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</si>
  <si>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000  0902  0000000  000  200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</si>
  <si>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</si>
  <si>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</si>
  <si>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</si>
  <si>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</si>
  <si>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</si>
  <si>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6,106</t>
  </si>
  <si>
    <t>4,2</t>
  </si>
  <si>
    <t>000  1101  0000000  000  200</t>
  </si>
  <si>
    <t>000  1000  0000000  000  260</t>
  </si>
  <si>
    <t>000  0900  0000000  000  241</t>
  </si>
  <si>
    <t>000  0801  0000000  000  221</t>
  </si>
  <si>
    <t>000 500 025</t>
  </si>
  <si>
    <t>000  0107  0000000  000  200</t>
  </si>
  <si>
    <t>16,1</t>
  </si>
  <si>
    <t>9,20</t>
  </si>
  <si>
    <t>4,8</t>
  </si>
  <si>
    <t>11,211</t>
  </si>
  <si>
    <t>6,11</t>
  </si>
  <si>
    <t>3,114</t>
  </si>
  <si>
    <t>000  0707  0000000  000  220</t>
  </si>
  <si>
    <t>000  0111  0000000  000  290</t>
  </si>
  <si>
    <t>000  1000  0000000  000  220</t>
  </si>
  <si>
    <t>000  0405  0000000  000  290</t>
  </si>
  <si>
    <t>10,88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</si>
  <si>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</si>
  <si>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</si>
  <si>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</si>
  <si>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</si>
  <si>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</si>
  <si>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</si>
  <si>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</si>
  <si>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</si>
  <si>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</si>
  <si>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4,6</t>
  </si>
  <si>
    <t>Наименование показателя</t>
  </si>
  <si>
    <t>000  0909  0000000  000  000</t>
  </si>
  <si>
    <t>500,29</t>
  </si>
  <si>
    <t>9,45</t>
  </si>
  <si>
    <t>5,176</t>
  </si>
  <si>
    <t>2,465</t>
  </si>
  <si>
    <t>000  0500  0000000  000  224</t>
  </si>
  <si>
    <t>10,2</t>
  </si>
  <si>
    <t>000  1402  0000000  000  200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</si>
  <si>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</si>
  <si>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</si>
  <si>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</si>
  <si>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</si>
  <si>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</si>
  <si>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</si>
  <si>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</si>
  <si>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</si>
  <si>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</si>
  <si>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</si>
  <si>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</si>
  <si>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</si>
  <si>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</si>
  <si>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</si>
  <si>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</si>
  <si>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</si>
  <si>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</si>
  <si>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500,27</t>
  </si>
  <si>
    <t>5,178</t>
  </si>
  <si>
    <t>2,119</t>
  </si>
  <si>
    <t>Амбулаторная помощь</t>
  </si>
  <si>
    <t>000  1100  0000000  000  310</t>
  </si>
  <si>
    <t>000  0702  0000000  000  222</t>
  </si>
  <si>
    <t>000  0104  0000000  000  213</t>
  </si>
  <si>
    <t>5,427</t>
  </si>
  <si>
    <t>4,321</t>
  </si>
  <si>
    <t>3,11</t>
  </si>
  <si>
    <t>2,134</t>
  </si>
  <si>
    <t>000  1000  0000000  000  226</t>
  </si>
  <si>
    <t>000  0709  0000000  000  211</t>
  </si>
  <si>
    <t>000  0309  0000000  000  211</t>
  </si>
  <si>
    <t>8,321</t>
  </si>
  <si>
    <t>5,6</t>
  </si>
  <si>
    <t>9,28</t>
  </si>
  <si>
    <t>4,12</t>
  </si>
  <si>
    <t>000 500 023</t>
  </si>
  <si>
    <t>2,174</t>
  </si>
  <si>
    <t>Другие вопросы в области культуры, кинематографии</t>
  </si>
  <si>
    <t>Остатки на конец отчетного периода</t>
  </si>
  <si>
    <t>000  0902  0000000  000  242</t>
  </si>
  <si>
    <t>000  0707  0000000  000  226</t>
  </si>
  <si>
    <t>000  0503  0000000  000  000</t>
  </si>
  <si>
    <t>000  0103  0000000  000  000</t>
  </si>
  <si>
    <t>5,8</t>
  </si>
  <si>
    <t>000  1105  0000000  000  000</t>
  </si>
  <si>
    <t>9,68</t>
  </si>
  <si>
    <t>3,112</t>
  </si>
  <si>
    <t>000  0804  0000000  000  340</t>
  </si>
  <si>
    <t>500,5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</si>
  <si>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</si>
  <si>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</si>
  <si>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</si>
  <si>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</si>
  <si>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</si>
  <si>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</si>
  <si>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</si>
  <si>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</si>
  <si>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</si>
  <si>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000  0701  0000000  000  000</t>
  </si>
  <si>
    <t>000  0505  0000000  000  226</t>
  </si>
  <si>
    <t>500,21</t>
  </si>
  <si>
    <t>11,37</t>
  </si>
  <si>
    <t>2,3</t>
  </si>
  <si>
    <t>МЕСЯЧНЫЙ ОТЧЕТ ОБ ИСПОЛНЕНИИ БЮДЖЕТА</t>
  </si>
  <si>
    <t>000  0800  0000000  000  000</t>
  </si>
  <si>
    <t>000  0100  0000000  000  222</t>
  </si>
  <si>
    <t>000  0804  0000000  000  300</t>
  </si>
  <si>
    <t>Работы, услуги по содержанию имущества</t>
  </si>
  <si>
    <t>000  0500  0000000  000  222</t>
  </si>
  <si>
    <t>Другие вопросы в области физической культуры и спорта</t>
  </si>
  <si>
    <t>000  0400  0000000  000  000</t>
  </si>
  <si>
    <t>2,486</t>
  </si>
  <si>
    <t>9,170</t>
  </si>
  <si>
    <t>Другие вопросы в области образования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</si>
  <si>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</si>
  <si>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</si>
  <si>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</si>
  <si>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</si>
  <si>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</si>
  <si>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</si>
  <si>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</si>
  <si>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</si>
  <si>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</si>
  <si>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</si>
  <si>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Физическая культура</t>
  </si>
  <si>
    <t>000 500 002</t>
  </si>
  <si>
    <t>000  0405  0000000  000  212</t>
  </si>
  <si>
    <t>000  0203  0000000  000  223</t>
  </si>
  <si>
    <t>3,1</t>
  </si>
  <si>
    <t>000  0700  0000000  000  340</t>
  </si>
  <si>
    <t>000  0300  0000000  000  340</t>
  </si>
  <si>
    <t>500,1</t>
  </si>
  <si>
    <t>Пенсионное обеспечение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</si>
  <si>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</si>
  <si>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</si>
  <si>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</si>
  <si>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</si>
  <si>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</si>
  <si>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</si>
  <si>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</si>
  <si>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</si>
  <si>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</si>
  <si>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000  0800  0000000  000  310</t>
  </si>
  <si>
    <t>000  0111  0000000  000  000</t>
  </si>
  <si>
    <t>9,47</t>
  </si>
  <si>
    <t>3,30</t>
  </si>
  <si>
    <t>8,30</t>
  </si>
  <si>
    <t>000  0100  0000000  000  226</t>
  </si>
  <si>
    <t>Прочие работы, услуги</t>
  </si>
  <si>
    <t>000  0500  0000000  000  226</t>
  </si>
  <si>
    <t>000  0300  0000000  000  300</t>
  </si>
  <si>
    <t>Физическая культура и спорт</t>
  </si>
  <si>
    <t>000  0900  0000000  000  226</t>
  </si>
  <si>
    <t>Безвозмездные перечисления государственным и муниципальным организациям</t>
  </si>
  <si>
    <t>000  0700  0000000  000  300</t>
  </si>
  <si>
    <t>2,9</t>
  </si>
  <si>
    <t>10,316</t>
  </si>
  <si>
    <t>Увеличение стоимости материальных запасов</t>
  </si>
  <si>
    <t>000  0801  0000000  000  340</t>
  </si>
  <si>
    <t>4,33</t>
  </si>
  <si>
    <t>13  13 Суммы, подлежащие исключению Консолид. Исполнено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</si>
  <si>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</si>
  <si>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</si>
  <si>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</si>
  <si>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</si>
  <si>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</si>
  <si>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</si>
  <si>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</si>
  <si>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3,118</t>
  </si>
  <si>
    <t>000 500 029</t>
  </si>
  <si>
    <t>000  0700  0000000  000  223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</si>
  <si>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</si>
  <si>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</si>
  <si>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</si>
  <si>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</si>
  <si>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</si>
  <si>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</si>
  <si>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10,333</t>
  </si>
  <si>
    <t>000  1000  0000000  000  262</t>
  </si>
  <si>
    <t>000  0801  0000000  000  223</t>
  </si>
  <si>
    <t>8,55</t>
  </si>
  <si>
    <t>4,503</t>
  </si>
  <si>
    <t>4,380</t>
  </si>
  <si>
    <t>000 500 027</t>
  </si>
  <si>
    <t>000  0502  0000000  000  340</t>
  </si>
  <si>
    <t>2,170</t>
  </si>
  <si>
    <t>000  0503  0000000  000  310</t>
  </si>
  <si>
    <t>000  0412  0000000  000  000</t>
  </si>
  <si>
    <t>6,13</t>
  </si>
  <si>
    <t>3,116</t>
  </si>
  <si>
    <t>00000000000000000225</t>
  </si>
  <si>
    <t>000  1105  0000000  000  310</t>
  </si>
  <si>
    <t>000  0603  0000000  000  300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</si>
  <si>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</si>
  <si>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</si>
  <si>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</si>
  <si>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</si>
  <si>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</si>
  <si>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</si>
  <si>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</si>
  <si>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</si>
  <si>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</si>
  <si>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</si>
  <si>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</si>
  <si>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</si>
  <si>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</si>
  <si>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</si>
  <si>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</si>
  <si>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</si>
  <si>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</si>
  <si>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</si>
  <si>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</si>
  <si>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</si>
  <si>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</si>
  <si>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</si>
  <si>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</si>
  <si>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</si>
  <si>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</si>
  <si>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00000000000000000310</t>
  </si>
  <si>
    <t>000 500 014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</si>
  <si>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</si>
  <si>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</si>
  <si>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</si>
  <si>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</si>
  <si>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</si>
  <si>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</si>
  <si>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</si>
  <si>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</si>
  <si>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</si>
  <si>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</si>
  <si>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</si>
  <si>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</si>
  <si>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</si>
  <si>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000  1006  0000000  000  240</t>
  </si>
  <si>
    <t>000  0700  0000000  000  250</t>
  </si>
  <si>
    <t>000  0314  0000000  000  220</t>
  </si>
  <si>
    <t>500,33</t>
  </si>
  <si>
    <t>10,52</t>
  </si>
  <si>
    <t>6,20</t>
  </si>
  <si>
    <t>4,318</t>
  </si>
  <si>
    <t>000  0503  0000000  000  200</t>
  </si>
  <si>
    <t>000  0103  0000000  000  200</t>
  </si>
  <si>
    <t>15,1</t>
  </si>
  <si>
    <t>8,43</t>
  </si>
  <si>
    <t>2,34</t>
  </si>
  <si>
    <t>000 500 031</t>
  </si>
  <si>
    <t>000  1004  0000000  000  260</t>
  </si>
  <si>
    <t>000  0904  0000000  000  241</t>
  </si>
  <si>
    <t>000  0701  0000000  000  225</t>
  </si>
  <si>
    <t>000  0405  0000000  000  221</t>
  </si>
  <si>
    <t>000  0203  0000000  000  210</t>
  </si>
  <si>
    <t>6,118</t>
  </si>
  <si>
    <t>2,414</t>
  </si>
  <si>
    <t>500,16</t>
  </si>
  <si>
    <t>000  0700  0000000  000  290</t>
  </si>
  <si>
    <t>000  0310  0000000  000  211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</si>
  <si>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</si>
  <si>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</si>
  <si>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</si>
  <si>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</si>
  <si>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</si>
  <si>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15,71</t>
  </si>
  <si>
    <t>в т.ч. на оплату труда и начисления на ФОТ</t>
  </si>
  <si>
    <t>000  0505  0000000  000  251</t>
  </si>
  <si>
    <t>10,37</t>
  </si>
  <si>
    <t>6,116</t>
  </si>
  <si>
    <t>000  0800  0000000  000  225</t>
  </si>
  <si>
    <t>Дошкольное образование</t>
  </si>
  <si>
    <t>000  0701  0000000  000  221</t>
  </si>
  <si>
    <t>000  0412  0000000  000  200</t>
  </si>
  <si>
    <t>9,30</t>
  </si>
  <si>
    <t>7,134</t>
  </si>
  <si>
    <t>000  0500  0000000  000  251</t>
  </si>
  <si>
    <t>8,47</t>
  </si>
  <si>
    <t>2,30</t>
  </si>
  <si>
    <t>5,33</t>
  </si>
  <si>
    <t>500,12</t>
  </si>
  <si>
    <t>12,36</t>
  </si>
  <si>
    <t>Коммунальные услуги</t>
  </si>
  <si>
    <t>000  0113  0000000  000  220</t>
  </si>
  <si>
    <t>000  0100  0000000  000  211</t>
  </si>
  <si>
    <t>15,90</t>
  </si>
  <si>
    <t>9,143</t>
  </si>
  <si>
    <t>Культура, кинематография, средства массовой информации</t>
  </si>
  <si>
    <t>000  1100  0000000  000  200</t>
  </si>
  <si>
    <t>000  1001  0000000  000  260</t>
  </si>
  <si>
    <t>000  0901  0000000  000  241</t>
  </si>
  <si>
    <t>000  0800  0000000  000  221</t>
  </si>
  <si>
    <t>000  0400  0000000  000  221</t>
  </si>
  <si>
    <t>7,2</t>
  </si>
  <si>
    <t>6,112</t>
  </si>
  <si>
    <t>4,379</t>
  </si>
  <si>
    <t>000  0709  0000000  000  222</t>
  </si>
  <si>
    <t>000  0107  0000000  000  290</t>
  </si>
  <si>
    <t>5,183</t>
  </si>
  <si>
    <t>000  1101  0000000  000  290</t>
  </si>
  <si>
    <t>000  0702  0000000  000  211</t>
  </si>
  <si>
    <t>000  0200  0000000  000  224</t>
  </si>
  <si>
    <t>000  0104  0000000  000  220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</si>
  <si>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</si>
  <si>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</si>
  <si>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</si>
  <si>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</si>
  <si>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</si>
  <si>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</si>
  <si>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11,61</t>
  </si>
  <si>
    <t>10,158</t>
  </si>
  <si>
    <t>8,100</t>
  </si>
  <si>
    <t>7,13</t>
  </si>
  <si>
    <t>6,81</t>
  </si>
  <si>
    <t>4,497</t>
  </si>
  <si>
    <t>000  1003  0000000  000  200</t>
  </si>
  <si>
    <t>000  0103  0000000  000  221</t>
  </si>
  <si>
    <t>9,2</t>
  </si>
  <si>
    <t>7,205</t>
  </si>
  <si>
    <t>в т.ч. капитальные вложения</t>
  </si>
  <si>
    <t>000 500 010</t>
  </si>
  <si>
    <t>000  0702  0000000  000  251</t>
  </si>
  <si>
    <t>000  0405  0000000  000  200</t>
  </si>
  <si>
    <t>10,18</t>
  </si>
  <si>
    <t>4,352</t>
  </si>
  <si>
    <t>2,147</t>
  </si>
  <si>
    <t>000  0804  0000000  000  250</t>
  </si>
  <si>
    <t>000  9600  0000000  000  000</t>
  </si>
  <si>
    <t>12,13</t>
  </si>
  <si>
    <t>8,4</t>
  </si>
  <si>
    <t>6,177</t>
  </si>
  <si>
    <t>2,109</t>
  </si>
  <si>
    <t>Ед. измерения: отчета -  руб.</t>
  </si>
  <si>
    <t>000  1402  0000000  000  250</t>
  </si>
  <si>
    <t>10,344</t>
  </si>
  <si>
    <t>000  0902  0000000  000  000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</si>
  <si>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</si>
  <si>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</si>
  <si>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</si>
  <si>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</si>
  <si>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</si>
  <si>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</si>
  <si>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</si>
  <si>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</si>
  <si>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11,153</t>
  </si>
  <si>
    <t>7,30</t>
  </si>
  <si>
    <t>4,519</t>
  </si>
  <si>
    <t>хозяйственные материалы и канцелярские принадлежности</t>
  </si>
  <si>
    <t>8,41</t>
  </si>
  <si>
    <t>Код показателя</t>
  </si>
  <si>
    <t>000 500 033</t>
  </si>
  <si>
    <t>000  1004  0000000  000  262</t>
  </si>
  <si>
    <t>9,36</t>
  </si>
  <si>
    <t>содержание в чистоте помещений, зданий, дворов, иного имущества</t>
  </si>
  <si>
    <t>Стационарная медицинская помощь</t>
  </si>
  <si>
    <t>000  0603  0000000  000  000</t>
  </si>
  <si>
    <t>000  0203  0000000  000  000</t>
  </si>
  <si>
    <t>500,14</t>
  </si>
  <si>
    <t>12,30</t>
  </si>
  <si>
    <t>2,458</t>
  </si>
  <si>
    <t>Культура</t>
  </si>
  <si>
    <t>000  0310  0000000  000  213</t>
  </si>
  <si>
    <t>9,13</t>
  </si>
  <si>
    <t>4,354</t>
  </si>
  <si>
    <t>4,29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</si>
  <si>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</si>
  <si>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</si>
  <si>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</si>
  <si>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</si>
  <si>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</si>
  <si>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</si>
  <si>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</si>
  <si>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</si>
  <si>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</si>
  <si>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</si>
  <si>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</si>
  <si>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</si>
  <si>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</si>
  <si>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</si>
  <si>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</si>
  <si>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</si>
  <si>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</si>
  <si>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</si>
  <si>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000  0804  0000000  000  310</t>
  </si>
  <si>
    <t>9,160</t>
  </si>
  <si>
    <t>000  0405  0000000  000  340</t>
  </si>
  <si>
    <t>4,491</t>
  </si>
  <si>
    <t>000 500 018</t>
  </si>
  <si>
    <t>000  0700  0000000  000  212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</si>
  <si>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</si>
  <si>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</si>
  <si>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</si>
  <si>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</si>
  <si>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</si>
  <si>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другие расходы</t>
  </si>
  <si>
    <t>000  0909  0000000  000  240</t>
  </si>
  <si>
    <t>000  0801  0000000  000  310</t>
  </si>
  <si>
    <t>000  0314  0000000  000  226</t>
  </si>
  <si>
    <t>8,6</t>
  </si>
  <si>
    <t>на другие цели</t>
  </si>
  <si>
    <t>000  0701  0000000  000  300</t>
  </si>
  <si>
    <t>8,20</t>
  </si>
  <si>
    <t>Другие вопросы в области охраны окружающей среды</t>
  </si>
  <si>
    <t>000  0309  0000000  000  220</t>
  </si>
  <si>
    <t>000  0709  0000000  000  220</t>
  </si>
  <si>
    <t>Расходы бюджета - ИТОГО</t>
  </si>
  <si>
    <t>000  0300  0000000  000  310</t>
  </si>
  <si>
    <t>000  0700  0000000  000  310</t>
  </si>
  <si>
    <t>000  1402  0000000  000  000</t>
  </si>
  <si>
    <t>5,181</t>
  </si>
  <si>
    <t>000  0800  0000000  000  300</t>
  </si>
  <si>
    <t>000  0600  0000000  000  226</t>
  </si>
  <si>
    <t>000  0200  0000000  000  226</t>
  </si>
  <si>
    <t>000  0804  0000000  000  000</t>
  </si>
  <si>
    <t>000  0104  0000000  000  222</t>
  </si>
  <si>
    <t>000  0400  0000000  000  300</t>
  </si>
  <si>
    <t>000  0702  0000000  000  213</t>
  </si>
  <si>
    <t>8,8</t>
  </si>
  <si>
    <t>8,258</t>
  </si>
  <si>
    <t>Капитальные расходы</t>
  </si>
  <si>
    <t>000  0909  0000000  000  200</t>
  </si>
  <si>
    <t>6,135</t>
  </si>
  <si>
    <t>000  0701  0000000  000  340</t>
  </si>
  <si>
    <t>12,2</t>
  </si>
  <si>
    <t>6,83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</si>
  <si>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</si>
  <si>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</si>
  <si>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</si>
  <si>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</si>
  <si>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</si>
  <si>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</si>
  <si>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</si>
  <si>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</si>
  <si>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</si>
  <si>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</si>
  <si>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000  1001  0000000  000  262</t>
  </si>
  <si>
    <t>000  0800  0000000  000  223</t>
  </si>
  <si>
    <t>6,204</t>
  </si>
  <si>
    <t>00000000000000000290</t>
  </si>
  <si>
    <t>000  0503  0000000  000  340</t>
  </si>
  <si>
    <t>000  0701  0000000  000  223</t>
  </si>
  <si>
    <t>15,37</t>
  </si>
  <si>
    <t>8,45</t>
  </si>
  <si>
    <t>2,274</t>
  </si>
  <si>
    <t>Здравоохранение</t>
  </si>
  <si>
    <t>000  1105  0000000  000  300</t>
  </si>
  <si>
    <t>000  1101  0000000  000  000</t>
  </si>
  <si>
    <t>000  0603  0000000  000  310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</si>
  <si>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</si>
  <si>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</si>
  <si>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</si>
  <si>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</si>
  <si>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500,10</t>
  </si>
  <si>
    <t>10,71</t>
  </si>
  <si>
    <t>3,106</t>
  </si>
  <si>
    <t>Расходы бюджета - отчет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</si>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</sst>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view="pageBreakPreview" zoomScale="60" workbookViewId="0" topLeftCell="A452">
      <selection activeCell="B469" sqref="B469:K471"/>
    </sheetView>
  </sheetViews>
  <sheetFormatPr defaultColWidth="9.140625" defaultRowHeight="12.75"/>
  <cols>
    <col min="1" max="1" width="4.28125" style="0" customWidth="1"/>
    <col min="2" max="2" width="25.57421875" style="0" customWidth="1"/>
    <col min="3" max="3" width="16.7109375" style="0" customWidth="1"/>
    <col min="4" max="4" width="15.8515625" style="0" customWidth="1"/>
    <col min="5" max="5" width="13.57421875" style="0" customWidth="1"/>
    <col min="6" max="6" width="15.140625" style="0" customWidth="1"/>
    <col min="7" max="7" width="14.00390625" style="0" customWidth="1"/>
    <col min="8" max="8" width="15.00390625" style="0" customWidth="1"/>
    <col min="9" max="9" width="13.57421875" style="0" customWidth="1"/>
    <col min="10" max="10" width="14.140625" style="0" customWidth="1"/>
    <col min="11" max="11" width="14.28125" style="0" customWidth="1"/>
  </cols>
  <sheetData>
    <row r="1" spans="1:11" ht="12.75">
      <c r="A1" s="4"/>
      <c r="B1" s="5"/>
      <c r="C1" s="5"/>
      <c r="D1" s="5"/>
      <c r="E1" s="6" t="s">
        <v>691</v>
      </c>
      <c r="F1" s="5"/>
      <c r="G1" s="5"/>
      <c r="H1" s="5"/>
      <c r="I1" s="7" t="s">
        <v>916</v>
      </c>
      <c r="J1" s="5"/>
      <c r="K1" s="5"/>
    </row>
    <row r="2" spans="1:11" ht="12.75">
      <c r="A2" s="4"/>
      <c r="B2" s="5"/>
      <c r="C2" s="5"/>
      <c r="D2" s="5"/>
      <c r="E2" s="10" t="s">
        <v>1039</v>
      </c>
      <c r="F2" s="5"/>
      <c r="G2" s="5"/>
      <c r="H2" s="5"/>
      <c r="I2" s="7" t="s">
        <v>514</v>
      </c>
      <c r="J2" s="5"/>
      <c r="K2" s="5"/>
    </row>
    <row r="3" spans="1:11" ht="12.75">
      <c r="A3" s="4" t="s">
        <v>761</v>
      </c>
      <c r="B3" s="5"/>
      <c r="C3" s="5"/>
      <c r="D3" s="5"/>
      <c r="E3" s="6" t="s">
        <v>5</v>
      </c>
      <c r="F3" s="5"/>
      <c r="G3" s="5"/>
      <c r="H3" s="5"/>
      <c r="I3" s="4" t="s">
        <v>761</v>
      </c>
      <c r="J3" s="5"/>
      <c r="K3" s="5"/>
    </row>
    <row r="4" spans="1:11" ht="72">
      <c r="A4" s="1" t="s">
        <v>194</v>
      </c>
      <c r="B4" s="1" t="s">
        <v>933</v>
      </c>
      <c r="C4" s="1" t="s">
        <v>619</v>
      </c>
      <c r="D4" s="1" t="s">
        <v>507</v>
      </c>
      <c r="E4" s="1" t="s">
        <v>311</v>
      </c>
      <c r="F4" s="1" t="s">
        <v>137</v>
      </c>
      <c r="G4" s="1" t="s">
        <v>348</v>
      </c>
      <c r="H4" s="1" t="s">
        <v>67</v>
      </c>
      <c r="I4" s="1" t="s">
        <v>748</v>
      </c>
      <c r="J4" s="1" t="s">
        <v>16</v>
      </c>
      <c r="K4" s="1" t="s">
        <v>136</v>
      </c>
    </row>
    <row r="5" spans="1:11" ht="23.25">
      <c r="A5" s="11" t="s">
        <v>557</v>
      </c>
      <c r="B5" s="12" t="s">
        <v>911</v>
      </c>
      <c r="C5" s="12" t="s">
        <v>989</v>
      </c>
      <c r="D5" s="13">
        <f>ROUND(901293583.42,2)</f>
        <v>901293583.42</v>
      </c>
      <c r="E5" s="13">
        <f>ROUND(84374291,2)</f>
        <v>84374291</v>
      </c>
      <c r="F5" s="13">
        <f>ROUND(821168183.42,2)</f>
        <v>821168183.42</v>
      </c>
      <c r="G5" s="13">
        <f>ROUND(164499691,2)</f>
        <v>164499691</v>
      </c>
      <c r="H5" s="13">
        <f>ROUND(126543398.03,2)</f>
        <v>126543398.03</v>
      </c>
      <c r="I5" s="13">
        <f>ROUND(13922989.73,2)</f>
        <v>13922989.73</v>
      </c>
      <c r="J5" s="13">
        <f>ROUND(106465210.16,2)</f>
        <v>106465210.16</v>
      </c>
      <c r="K5" s="13">
        <f>ROUND(34001177.6,2)</f>
        <v>34001177.6</v>
      </c>
    </row>
    <row r="6" spans="1:11" ht="23.25">
      <c r="A6" s="11" t="s">
        <v>245</v>
      </c>
      <c r="B6" s="12" t="s">
        <v>439</v>
      </c>
      <c r="C6" s="12" t="s">
        <v>892</v>
      </c>
      <c r="D6" s="13">
        <f>ROUND(73421352.17,2)</f>
        <v>73421352.17</v>
      </c>
      <c r="E6" s="13">
        <f aca="true" t="shared" si="0" ref="E6:E37">ROUND(0,2)</f>
        <v>0</v>
      </c>
      <c r="F6" s="13">
        <f>ROUND(30199877.17,2)</f>
        <v>30199877.17</v>
      </c>
      <c r="G6" s="13">
        <f>ROUND(43221475,2)</f>
        <v>43221475</v>
      </c>
      <c r="H6" s="13">
        <f>ROUND(19898090.81,2)</f>
        <v>19898090.81</v>
      </c>
      <c r="I6" s="13">
        <f aca="true" t="shared" si="1" ref="I6:I37">ROUND(0,2)</f>
        <v>0</v>
      </c>
      <c r="J6" s="13">
        <f>ROUND(6952227.72,2)</f>
        <v>6952227.72</v>
      </c>
      <c r="K6" s="13">
        <f>ROUND(12945863.09,2)</f>
        <v>12945863.09</v>
      </c>
    </row>
    <row r="7" spans="1:11" ht="23.25">
      <c r="A7" s="11" t="s">
        <v>690</v>
      </c>
      <c r="B7" s="12" t="s">
        <v>9</v>
      </c>
      <c r="C7" s="12" t="s">
        <v>99</v>
      </c>
      <c r="D7" s="13">
        <f>ROUND(68573755.18,2)</f>
        <v>68573755.18</v>
      </c>
      <c r="E7" s="13">
        <f t="shared" si="0"/>
        <v>0</v>
      </c>
      <c r="F7" s="13">
        <f>ROUND(29393677.18,2)</f>
        <v>29393677.18</v>
      </c>
      <c r="G7" s="13">
        <f>ROUND(39180078,2)</f>
        <v>39180078</v>
      </c>
      <c r="H7" s="13">
        <f>ROUND(17807725.01,2)</f>
        <v>17807725.01</v>
      </c>
      <c r="I7" s="13">
        <f t="shared" si="1"/>
        <v>0</v>
      </c>
      <c r="J7" s="13">
        <f>ROUND(6392970.89,2)</f>
        <v>6392970.89</v>
      </c>
      <c r="K7" s="13">
        <f>ROUND(11414754.12,2)</f>
        <v>11414754.12</v>
      </c>
    </row>
    <row r="8" spans="1:11" ht="45.75">
      <c r="A8" s="11" t="s">
        <v>31</v>
      </c>
      <c r="B8" s="12" t="s">
        <v>274</v>
      </c>
      <c r="C8" s="12" t="s">
        <v>801</v>
      </c>
      <c r="D8" s="13">
        <f>ROUND(57156200.1,2)</f>
        <v>57156200.1</v>
      </c>
      <c r="E8" s="13">
        <f t="shared" si="0"/>
        <v>0</v>
      </c>
      <c r="F8" s="13">
        <f>ROUND(26586815.1,2)</f>
        <v>26586815.1</v>
      </c>
      <c r="G8" s="13">
        <f>ROUND(30569385,2)</f>
        <v>30569385</v>
      </c>
      <c r="H8" s="13">
        <f>ROUND(12861000.21,2)</f>
        <v>12861000.21</v>
      </c>
      <c r="I8" s="13">
        <f t="shared" si="1"/>
        <v>0</v>
      </c>
      <c r="J8" s="13">
        <f>ROUND(4773742.77,2)</f>
        <v>4773742.77</v>
      </c>
      <c r="K8" s="13">
        <f>ROUND(8087257.44,2)</f>
        <v>8087257.44</v>
      </c>
    </row>
    <row r="9" spans="1:11" ht="23.25">
      <c r="A9" s="11" t="s">
        <v>641</v>
      </c>
      <c r="B9" s="12" t="s">
        <v>868</v>
      </c>
      <c r="C9" s="12" t="s">
        <v>189</v>
      </c>
      <c r="D9" s="13">
        <f>ROUND(42870837.47,2)</f>
        <v>42870837.47</v>
      </c>
      <c r="E9" s="13">
        <f t="shared" si="0"/>
        <v>0</v>
      </c>
      <c r="F9" s="13">
        <f>ROUND(19541891.47,2)</f>
        <v>19541891.47</v>
      </c>
      <c r="G9" s="13">
        <f>ROUND(23328946,2)</f>
        <v>23328946</v>
      </c>
      <c r="H9" s="13">
        <f>ROUND(10196027.86,2)</f>
        <v>10196027.86</v>
      </c>
      <c r="I9" s="13">
        <f t="shared" si="1"/>
        <v>0</v>
      </c>
      <c r="J9" s="13">
        <f>ROUND(3790715.86,2)</f>
        <v>3790715.86</v>
      </c>
      <c r="K9" s="13">
        <f>ROUND(6405312,2)</f>
        <v>6405312</v>
      </c>
    </row>
    <row r="10" spans="1:11" ht="23.25">
      <c r="A10" s="11" t="s">
        <v>135</v>
      </c>
      <c r="B10" s="12" t="s">
        <v>451</v>
      </c>
      <c r="C10" s="12" t="s">
        <v>288</v>
      </c>
      <c r="D10" s="13">
        <f>ROUND(7700,2)</f>
        <v>7700</v>
      </c>
      <c r="E10" s="13">
        <f t="shared" si="0"/>
        <v>0</v>
      </c>
      <c r="F10" s="13">
        <f>ROUND(900,2)</f>
        <v>900</v>
      </c>
      <c r="G10" s="13">
        <f>ROUND(6800,2)</f>
        <v>6800</v>
      </c>
      <c r="H10" s="13">
        <f>ROUND(600,2)</f>
        <v>600</v>
      </c>
      <c r="I10" s="13">
        <f t="shared" si="1"/>
        <v>0</v>
      </c>
      <c r="J10" s="13">
        <f>ROUND(600,2)</f>
        <v>600</v>
      </c>
      <c r="K10" s="13">
        <f>ROUND(0,2)</f>
        <v>0</v>
      </c>
    </row>
    <row r="11" spans="1:11" ht="34.5">
      <c r="A11" s="11" t="s">
        <v>723</v>
      </c>
      <c r="B11" s="12" t="s">
        <v>1017</v>
      </c>
      <c r="C11" s="12" t="s">
        <v>122</v>
      </c>
      <c r="D11" s="13">
        <f>ROUND(14277662.63,2)</f>
        <v>14277662.63</v>
      </c>
      <c r="E11" s="13">
        <f t="shared" si="0"/>
        <v>0</v>
      </c>
      <c r="F11" s="13">
        <f>ROUND(7044023.63,2)</f>
        <v>7044023.63</v>
      </c>
      <c r="G11" s="13">
        <f>ROUND(7233639,2)</f>
        <v>7233639</v>
      </c>
      <c r="H11" s="13">
        <f>ROUND(2664372.35,2)</f>
        <v>2664372.35</v>
      </c>
      <c r="I11" s="13">
        <f t="shared" si="1"/>
        <v>0</v>
      </c>
      <c r="J11" s="13">
        <f>ROUND(982426.91,2)</f>
        <v>982426.91</v>
      </c>
      <c r="K11" s="13">
        <f>ROUND(1681945.44,2)</f>
        <v>1681945.44</v>
      </c>
    </row>
    <row r="12" spans="1:11" ht="23.25">
      <c r="A12" s="11" t="s">
        <v>134</v>
      </c>
      <c r="B12" s="12" t="s">
        <v>511</v>
      </c>
      <c r="C12" s="12" t="s">
        <v>238</v>
      </c>
      <c r="D12" s="13">
        <f>ROUND(9444824.01,2)</f>
        <v>9444824.01</v>
      </c>
      <c r="E12" s="13">
        <f t="shared" si="0"/>
        <v>0</v>
      </c>
      <c r="F12" s="13">
        <f>ROUND(2104729.01,2)</f>
        <v>2104729.01</v>
      </c>
      <c r="G12" s="13">
        <f>ROUND(7340095,2)</f>
        <v>7340095</v>
      </c>
      <c r="H12" s="13">
        <f>ROUND(3996597.79,2)</f>
        <v>3996597.79</v>
      </c>
      <c r="I12" s="13">
        <f t="shared" si="1"/>
        <v>0</v>
      </c>
      <c r="J12" s="13">
        <f>ROUND(1420976.44,2)</f>
        <v>1420976.44</v>
      </c>
      <c r="K12" s="13">
        <f>ROUND(2575621.35,2)</f>
        <v>2575621.35</v>
      </c>
    </row>
    <row r="13" spans="1:11" ht="23.25">
      <c r="A13" s="11" t="s">
        <v>743</v>
      </c>
      <c r="B13" s="12" t="s">
        <v>89</v>
      </c>
      <c r="C13" s="12" t="s">
        <v>631</v>
      </c>
      <c r="D13" s="13">
        <f>ROUND(1572747,2)</f>
        <v>1572747</v>
      </c>
      <c r="E13" s="13">
        <f t="shared" si="0"/>
        <v>0</v>
      </c>
      <c r="F13" s="13">
        <f>ROUND(737700,2)</f>
        <v>737700</v>
      </c>
      <c r="G13" s="13">
        <f>ROUND(835047,2)</f>
        <v>835047</v>
      </c>
      <c r="H13" s="13">
        <f>ROUND(905249.6,2)</f>
        <v>905249.6</v>
      </c>
      <c r="I13" s="13">
        <f t="shared" si="1"/>
        <v>0</v>
      </c>
      <c r="J13" s="13">
        <f>ROUND(648856.33,2)</f>
        <v>648856.33</v>
      </c>
      <c r="K13" s="13">
        <f>ROUND(256393.27,2)</f>
        <v>256393.27</v>
      </c>
    </row>
    <row r="14" spans="1:11" ht="23.25">
      <c r="A14" s="11" t="s">
        <v>354</v>
      </c>
      <c r="B14" s="12" t="s">
        <v>693</v>
      </c>
      <c r="C14" s="12" t="s">
        <v>454</v>
      </c>
      <c r="D14" s="13">
        <f>ROUND(401499,2)</f>
        <v>401499</v>
      </c>
      <c r="E14" s="13">
        <f t="shared" si="0"/>
        <v>0</v>
      </c>
      <c r="F14" s="13">
        <f>ROUND(18000,2)</f>
        <v>18000</v>
      </c>
      <c r="G14" s="13">
        <f>ROUND(383499,2)</f>
        <v>383499</v>
      </c>
      <c r="H14" s="13">
        <f>ROUND(123453.97,2)</f>
        <v>123453.97</v>
      </c>
      <c r="I14" s="13">
        <f t="shared" si="1"/>
        <v>0</v>
      </c>
      <c r="J14" s="13">
        <f>ROUND(0,2)</f>
        <v>0</v>
      </c>
      <c r="K14" s="13">
        <f>ROUND(123453.97,2)</f>
        <v>123453.97</v>
      </c>
    </row>
    <row r="15" spans="1:11" ht="23.25">
      <c r="A15" s="11" t="s">
        <v>816</v>
      </c>
      <c r="B15" s="12" t="s">
        <v>232</v>
      </c>
      <c r="C15" s="12" t="s">
        <v>866</v>
      </c>
      <c r="D15" s="13">
        <f>ROUND(2696333,2)</f>
        <v>2696333</v>
      </c>
      <c r="E15" s="13">
        <f t="shared" si="0"/>
        <v>0</v>
      </c>
      <c r="F15" s="13">
        <f>ROUND(285650,2)</f>
        <v>285650</v>
      </c>
      <c r="G15" s="13">
        <f>ROUND(2410683,2)</f>
        <v>2410683</v>
      </c>
      <c r="H15" s="13">
        <f>ROUND(1360120.52,2)</f>
        <v>1360120.52</v>
      </c>
      <c r="I15" s="13">
        <f t="shared" si="1"/>
        <v>0</v>
      </c>
      <c r="J15" s="13">
        <f>ROUND(198911.48,2)</f>
        <v>198911.48</v>
      </c>
      <c r="K15" s="13">
        <f>ROUND(1161209.04,2)</f>
        <v>1161209.04</v>
      </c>
    </row>
    <row r="16" spans="1:11" ht="34.5">
      <c r="A16" s="11" t="s">
        <v>952</v>
      </c>
      <c r="B16" s="12" t="s">
        <v>55</v>
      </c>
      <c r="C16" s="12" t="s">
        <v>695</v>
      </c>
      <c r="D16" s="13">
        <f>ROUND(1279250,2)</f>
        <v>1279250</v>
      </c>
      <c r="E16" s="13">
        <f t="shared" si="0"/>
        <v>0</v>
      </c>
      <c r="F16" s="13">
        <f>ROUND(39200,2)</f>
        <v>39200</v>
      </c>
      <c r="G16" s="13">
        <f>ROUND(1240050,2)</f>
        <v>1240050</v>
      </c>
      <c r="H16" s="13">
        <f>ROUND(490980.81,2)</f>
        <v>490980.81</v>
      </c>
      <c r="I16" s="13">
        <f t="shared" si="1"/>
        <v>0</v>
      </c>
      <c r="J16" s="13">
        <f>ROUND(19025,2)</f>
        <v>19025</v>
      </c>
      <c r="K16" s="13">
        <f>ROUND(471955.81,2)</f>
        <v>471955.81</v>
      </c>
    </row>
    <row r="17" spans="1:11" ht="23.25">
      <c r="A17" s="11" t="s">
        <v>308</v>
      </c>
      <c r="B17" s="12" t="s">
        <v>735</v>
      </c>
      <c r="C17" s="12" t="s">
        <v>736</v>
      </c>
      <c r="D17" s="13">
        <f>ROUND(3494995.01,2)</f>
        <v>3494995.01</v>
      </c>
      <c r="E17" s="13">
        <f t="shared" si="0"/>
        <v>0</v>
      </c>
      <c r="F17" s="13">
        <f>ROUND(1024179.01,2)</f>
        <v>1024179.01</v>
      </c>
      <c r="G17" s="13">
        <f>ROUND(2470816,2)</f>
        <v>2470816</v>
      </c>
      <c r="H17" s="13">
        <f>ROUND(1116792.89,2)</f>
        <v>1116792.89</v>
      </c>
      <c r="I17" s="13">
        <f t="shared" si="1"/>
        <v>0</v>
      </c>
      <c r="J17" s="13">
        <f>ROUND(554183.63,2)</f>
        <v>554183.63</v>
      </c>
      <c r="K17" s="13">
        <f>ROUND(562609.26,2)</f>
        <v>562609.26</v>
      </c>
    </row>
    <row r="18" spans="1:11" ht="23.25">
      <c r="A18" s="11" t="s">
        <v>202</v>
      </c>
      <c r="B18" s="12" t="s">
        <v>310</v>
      </c>
      <c r="C18" s="12" t="s">
        <v>961</v>
      </c>
      <c r="D18" s="13">
        <f>ROUND(1972731.07,2)</f>
        <v>1972731.07</v>
      </c>
      <c r="E18" s="13">
        <f t="shared" si="0"/>
        <v>0</v>
      </c>
      <c r="F18" s="13">
        <f>ROUND(702133.07,2)</f>
        <v>702133.07</v>
      </c>
      <c r="G18" s="13">
        <f>ROUND(1270598,2)</f>
        <v>1270598</v>
      </c>
      <c r="H18" s="13">
        <f>ROUND(950127.01,2)</f>
        <v>950127.01</v>
      </c>
      <c r="I18" s="13">
        <f t="shared" si="1"/>
        <v>0</v>
      </c>
      <c r="J18" s="13">
        <f>ROUND(198251.68,2)</f>
        <v>198251.68</v>
      </c>
      <c r="K18" s="13">
        <f>ROUND(751875.33,2)</f>
        <v>751875.33</v>
      </c>
    </row>
    <row r="19" spans="1:11" ht="34.5">
      <c r="A19" s="11" t="s">
        <v>862</v>
      </c>
      <c r="B19" s="12" t="s">
        <v>207</v>
      </c>
      <c r="C19" s="12" t="s">
        <v>795</v>
      </c>
      <c r="D19" s="13">
        <f>ROUND(4847596.99,2)</f>
        <v>4847596.99</v>
      </c>
      <c r="E19" s="13">
        <f t="shared" si="0"/>
        <v>0</v>
      </c>
      <c r="F19" s="13">
        <f>ROUND(806199.99,2)</f>
        <v>806199.99</v>
      </c>
      <c r="G19" s="13">
        <f>ROUND(4041397,2)</f>
        <v>4041397</v>
      </c>
      <c r="H19" s="13">
        <f>ROUND(2090365.8,2)</f>
        <v>2090365.8</v>
      </c>
      <c r="I19" s="13">
        <f t="shared" si="1"/>
        <v>0</v>
      </c>
      <c r="J19" s="13">
        <f>ROUND(559256.83,2)</f>
        <v>559256.83</v>
      </c>
      <c r="K19" s="13">
        <f>ROUND(1531108.97,2)</f>
        <v>1531108.97</v>
      </c>
    </row>
    <row r="20" spans="1:11" ht="34.5">
      <c r="A20" s="11" t="s">
        <v>291</v>
      </c>
      <c r="B20" s="12" t="s">
        <v>469</v>
      </c>
      <c r="C20" s="12" t="s">
        <v>953</v>
      </c>
      <c r="D20" s="13">
        <f>ROUND(1141838.73,2)</f>
        <v>1141838.73</v>
      </c>
      <c r="E20" s="13">
        <f t="shared" si="0"/>
        <v>0</v>
      </c>
      <c r="F20" s="13">
        <f>ROUND(413438.73,2)</f>
        <v>413438.73</v>
      </c>
      <c r="G20" s="13">
        <f>ROUND(728400,2)</f>
        <v>728400</v>
      </c>
      <c r="H20" s="13">
        <f>ROUND(754714.33,2)</f>
        <v>754714.33</v>
      </c>
      <c r="I20" s="13">
        <f t="shared" si="1"/>
        <v>0</v>
      </c>
      <c r="J20" s="13">
        <f>ROUND(313811.73,2)</f>
        <v>313811.73</v>
      </c>
      <c r="K20" s="13">
        <f>ROUND(440902.6,2)</f>
        <v>440902.6</v>
      </c>
    </row>
    <row r="21" spans="1:11" ht="45.75">
      <c r="A21" s="11" t="s">
        <v>832</v>
      </c>
      <c r="B21" s="12" t="s">
        <v>191</v>
      </c>
      <c r="C21" s="12" t="s">
        <v>745</v>
      </c>
      <c r="D21" s="13">
        <f>ROUND(3705758.26,2)</f>
        <v>3705758.26</v>
      </c>
      <c r="E21" s="13">
        <f t="shared" si="0"/>
        <v>0</v>
      </c>
      <c r="F21" s="13">
        <f>ROUND(392761.26,2)</f>
        <v>392761.26</v>
      </c>
      <c r="G21" s="13">
        <f>ROUND(3312997,2)</f>
        <v>3312997</v>
      </c>
      <c r="H21" s="13">
        <f>ROUND(1335651.47,2)</f>
        <v>1335651.47</v>
      </c>
      <c r="I21" s="13">
        <f t="shared" si="1"/>
        <v>0</v>
      </c>
      <c r="J21" s="13">
        <f>ROUND(245445.1,2)</f>
        <v>245445.1</v>
      </c>
      <c r="K21" s="13">
        <f>ROUND(1090206.37,2)</f>
        <v>1090206.37</v>
      </c>
    </row>
    <row r="22" spans="1:11" ht="113.25">
      <c r="A22" s="11" t="s">
        <v>888</v>
      </c>
      <c r="B22" s="12" t="s">
        <v>670</v>
      </c>
      <c r="C22" s="12" t="s">
        <v>752</v>
      </c>
      <c r="D22" s="13">
        <f>ROUND(2295000,2)</f>
        <v>2295000</v>
      </c>
      <c r="E22" s="13">
        <f t="shared" si="0"/>
        <v>0</v>
      </c>
      <c r="F22" s="13">
        <f>ROUND(2295000,2)</f>
        <v>2295000</v>
      </c>
      <c r="G22" s="13">
        <f aca="true" t="shared" si="2" ref="G22:G30">ROUND(0,2)</f>
        <v>0</v>
      </c>
      <c r="H22" s="13">
        <f>ROUND(563308.05,2)</f>
        <v>563308.05</v>
      </c>
      <c r="I22" s="13">
        <f t="shared" si="1"/>
        <v>0</v>
      </c>
      <c r="J22" s="13">
        <f>ROUND(563308.05,2)</f>
        <v>563308.05</v>
      </c>
      <c r="K22" s="13">
        <f aca="true" t="shared" si="3" ref="K22:K30">ROUND(0,2)</f>
        <v>0</v>
      </c>
    </row>
    <row r="23" spans="1:11" ht="23.25">
      <c r="A23" s="11" t="s">
        <v>296</v>
      </c>
      <c r="B23" s="12" t="s">
        <v>829</v>
      </c>
      <c r="C23" s="12" t="s">
        <v>99</v>
      </c>
      <c r="D23" s="13">
        <f>ROUND(2295000,2)</f>
        <v>2295000</v>
      </c>
      <c r="E23" s="13">
        <f t="shared" si="0"/>
        <v>0</v>
      </c>
      <c r="F23" s="13">
        <f>ROUND(2295000,2)</f>
        <v>2295000</v>
      </c>
      <c r="G23" s="13">
        <f t="shared" si="2"/>
        <v>0</v>
      </c>
      <c r="H23" s="13">
        <f>ROUND(563308.05,2)</f>
        <v>563308.05</v>
      </c>
      <c r="I23" s="13">
        <f t="shared" si="1"/>
        <v>0</v>
      </c>
      <c r="J23" s="13">
        <f>ROUND(563308.05,2)</f>
        <v>563308.05</v>
      </c>
      <c r="K23" s="13">
        <f t="shared" si="3"/>
        <v>0</v>
      </c>
    </row>
    <row r="24" spans="1:11" ht="45.75">
      <c r="A24" s="11" t="s">
        <v>915</v>
      </c>
      <c r="B24" s="12" t="s">
        <v>564</v>
      </c>
      <c r="C24" s="12" t="s">
        <v>801</v>
      </c>
      <c r="D24" s="13">
        <f>ROUND(2097000,2)</f>
        <v>2097000</v>
      </c>
      <c r="E24" s="13">
        <f t="shared" si="0"/>
        <v>0</v>
      </c>
      <c r="F24" s="13">
        <f>ROUND(2097000,2)</f>
        <v>2097000</v>
      </c>
      <c r="G24" s="13">
        <f t="shared" si="2"/>
        <v>0</v>
      </c>
      <c r="H24" s="13">
        <f>ROUND(505023,2)</f>
        <v>505023</v>
      </c>
      <c r="I24" s="13">
        <f t="shared" si="1"/>
        <v>0</v>
      </c>
      <c r="J24" s="13">
        <f>ROUND(505023,2)</f>
        <v>505023</v>
      </c>
      <c r="K24" s="13">
        <f t="shared" si="3"/>
        <v>0</v>
      </c>
    </row>
    <row r="25" spans="1:11" ht="23.25">
      <c r="A25" s="11" t="s">
        <v>237</v>
      </c>
      <c r="B25" s="12" t="s">
        <v>124</v>
      </c>
      <c r="C25" s="12" t="s">
        <v>189</v>
      </c>
      <c r="D25" s="13">
        <f>ROUND(1463000,2)</f>
        <v>1463000</v>
      </c>
      <c r="E25" s="13">
        <f t="shared" si="0"/>
        <v>0</v>
      </c>
      <c r="F25" s="13">
        <f>ROUND(1463000,2)</f>
        <v>1463000</v>
      </c>
      <c r="G25" s="13">
        <f t="shared" si="2"/>
        <v>0</v>
      </c>
      <c r="H25" s="13">
        <f>ROUND(384465.45,2)</f>
        <v>384465.45</v>
      </c>
      <c r="I25" s="13">
        <f t="shared" si="1"/>
        <v>0</v>
      </c>
      <c r="J25" s="13">
        <f>ROUND(384465.45,2)</f>
        <v>384465.45</v>
      </c>
      <c r="K25" s="13">
        <f t="shared" si="3"/>
        <v>0</v>
      </c>
    </row>
    <row r="26" spans="1:11" ht="34.5">
      <c r="A26" s="11" t="s">
        <v>98</v>
      </c>
      <c r="B26" s="12" t="s">
        <v>198</v>
      </c>
      <c r="C26" s="12" t="s">
        <v>122</v>
      </c>
      <c r="D26" s="13">
        <f>ROUND(634000,2)</f>
        <v>634000</v>
      </c>
      <c r="E26" s="13">
        <f t="shared" si="0"/>
        <v>0</v>
      </c>
      <c r="F26" s="13">
        <f>ROUND(634000,2)</f>
        <v>634000</v>
      </c>
      <c r="G26" s="13">
        <f t="shared" si="2"/>
        <v>0</v>
      </c>
      <c r="H26" s="13">
        <f>ROUND(120557.55,2)</f>
        <v>120557.55</v>
      </c>
      <c r="I26" s="13">
        <f t="shared" si="1"/>
        <v>0</v>
      </c>
      <c r="J26" s="13">
        <f>ROUND(120557.55,2)</f>
        <v>120557.55</v>
      </c>
      <c r="K26" s="13">
        <f t="shared" si="3"/>
        <v>0</v>
      </c>
    </row>
    <row r="27" spans="1:11" ht="23.25">
      <c r="A27" s="11" t="s">
        <v>520</v>
      </c>
      <c r="B27" s="12" t="s">
        <v>303</v>
      </c>
      <c r="C27" s="12" t="s">
        <v>238</v>
      </c>
      <c r="D27" s="13">
        <f>ROUND(197000,2)</f>
        <v>197000</v>
      </c>
      <c r="E27" s="13">
        <f t="shared" si="0"/>
        <v>0</v>
      </c>
      <c r="F27" s="13">
        <f>ROUND(197000,2)</f>
        <v>197000</v>
      </c>
      <c r="G27" s="13">
        <f t="shared" si="2"/>
        <v>0</v>
      </c>
      <c r="H27" s="13">
        <f>ROUND(58285.05,2)</f>
        <v>58285.05</v>
      </c>
      <c r="I27" s="13">
        <f t="shared" si="1"/>
        <v>0</v>
      </c>
      <c r="J27" s="13">
        <f>ROUND(58285.05,2)</f>
        <v>58285.05</v>
      </c>
      <c r="K27" s="13">
        <f t="shared" si="3"/>
        <v>0</v>
      </c>
    </row>
    <row r="28" spans="1:11" ht="23.25">
      <c r="A28" s="11" t="s">
        <v>132</v>
      </c>
      <c r="B28" s="12" t="s">
        <v>900</v>
      </c>
      <c r="C28" s="12" t="s">
        <v>631</v>
      </c>
      <c r="D28" s="13">
        <f>ROUND(9000,2)</f>
        <v>9000</v>
      </c>
      <c r="E28" s="13">
        <f t="shared" si="0"/>
        <v>0</v>
      </c>
      <c r="F28" s="13">
        <f>ROUND(9000,2)</f>
        <v>9000</v>
      </c>
      <c r="G28" s="13">
        <f t="shared" si="2"/>
        <v>0</v>
      </c>
      <c r="H28" s="13">
        <f>ROUND(4125,2)</f>
        <v>4125</v>
      </c>
      <c r="I28" s="13">
        <f t="shared" si="1"/>
        <v>0</v>
      </c>
      <c r="J28" s="13">
        <f>ROUND(4125,2)</f>
        <v>4125</v>
      </c>
      <c r="K28" s="13">
        <f t="shared" si="3"/>
        <v>0</v>
      </c>
    </row>
    <row r="29" spans="1:11" ht="23.25">
      <c r="A29" s="11" t="s">
        <v>647</v>
      </c>
      <c r="B29" s="12" t="s">
        <v>504</v>
      </c>
      <c r="C29" s="12" t="s">
        <v>736</v>
      </c>
      <c r="D29" s="13">
        <f>ROUND(188000,2)</f>
        <v>188000</v>
      </c>
      <c r="E29" s="13">
        <f t="shared" si="0"/>
        <v>0</v>
      </c>
      <c r="F29" s="13">
        <f>ROUND(188000,2)</f>
        <v>188000</v>
      </c>
      <c r="G29" s="13">
        <f t="shared" si="2"/>
        <v>0</v>
      </c>
      <c r="H29" s="13">
        <f>ROUND(54160.05,2)</f>
        <v>54160.05</v>
      </c>
      <c r="I29" s="13">
        <f t="shared" si="1"/>
        <v>0</v>
      </c>
      <c r="J29" s="13">
        <f>ROUND(54160.05,2)</f>
        <v>54160.05</v>
      </c>
      <c r="K29" s="13">
        <f t="shared" si="3"/>
        <v>0</v>
      </c>
    </row>
    <row r="30" spans="1:11" ht="23.25">
      <c r="A30" s="11" t="s">
        <v>655</v>
      </c>
      <c r="B30" s="12" t="s">
        <v>518</v>
      </c>
      <c r="C30" s="12" t="s">
        <v>961</v>
      </c>
      <c r="D30" s="13">
        <f>ROUND(1000,2)</f>
        <v>1000</v>
      </c>
      <c r="E30" s="13">
        <f t="shared" si="0"/>
        <v>0</v>
      </c>
      <c r="F30" s="13">
        <f>ROUND(1000,2)</f>
        <v>1000</v>
      </c>
      <c r="G30" s="13">
        <f t="shared" si="2"/>
        <v>0</v>
      </c>
      <c r="H30" s="13">
        <f>ROUND(0,2)</f>
        <v>0</v>
      </c>
      <c r="I30" s="13">
        <f t="shared" si="1"/>
        <v>0</v>
      </c>
      <c r="J30" s="13">
        <f>ROUND(0,2)</f>
        <v>0</v>
      </c>
      <c r="K30" s="13">
        <f t="shared" si="3"/>
        <v>0</v>
      </c>
    </row>
    <row r="31" spans="1:11" ht="147">
      <c r="A31" s="11" t="s">
        <v>347</v>
      </c>
      <c r="B31" s="12" t="s">
        <v>210</v>
      </c>
      <c r="C31" s="12" t="s">
        <v>241</v>
      </c>
      <c r="D31" s="13">
        <f>ROUND(67636797.47,2)</f>
        <v>67636797.47</v>
      </c>
      <c r="E31" s="13">
        <f t="shared" si="0"/>
        <v>0</v>
      </c>
      <c r="F31" s="13">
        <f>ROUND(25348876.47,2)</f>
        <v>25348876.47</v>
      </c>
      <c r="G31" s="13">
        <f>ROUND(42287921,2)</f>
        <v>42287921</v>
      </c>
      <c r="H31" s="13">
        <f>ROUND(18384816.01,2)</f>
        <v>18384816.01</v>
      </c>
      <c r="I31" s="13">
        <f t="shared" si="1"/>
        <v>0</v>
      </c>
      <c r="J31" s="13">
        <f>ROUND(5963656.2,2)</f>
        <v>5963656.2</v>
      </c>
      <c r="K31" s="13">
        <f>ROUND(12421159.81,2)</f>
        <v>12421159.81</v>
      </c>
    </row>
    <row r="32" spans="1:11" ht="23.25">
      <c r="A32" s="11" t="s">
        <v>811</v>
      </c>
      <c r="B32" s="12" t="s">
        <v>380</v>
      </c>
      <c r="C32" s="12" t="s">
        <v>99</v>
      </c>
      <c r="D32" s="13">
        <f>ROUND(62988400.48,2)</f>
        <v>62988400.48</v>
      </c>
      <c r="E32" s="13">
        <f t="shared" si="0"/>
        <v>0</v>
      </c>
      <c r="F32" s="13">
        <f>ROUND(24741876.48,2)</f>
        <v>24741876.48</v>
      </c>
      <c r="G32" s="13">
        <f>ROUND(38246524,2)</f>
        <v>38246524</v>
      </c>
      <c r="H32" s="13">
        <f>ROUND(16306859.21,2)</f>
        <v>16306859.21</v>
      </c>
      <c r="I32" s="13">
        <f t="shared" si="1"/>
        <v>0</v>
      </c>
      <c r="J32" s="13">
        <f>ROUND(5416808.37,2)</f>
        <v>5416808.37</v>
      </c>
      <c r="K32" s="13">
        <f>ROUND(10890050.84,2)</f>
        <v>10890050.84</v>
      </c>
    </row>
    <row r="33" spans="1:11" ht="45.75">
      <c r="A33" s="11" t="s">
        <v>421</v>
      </c>
      <c r="B33" s="12" t="s">
        <v>107</v>
      </c>
      <c r="C33" s="12" t="s">
        <v>801</v>
      </c>
      <c r="D33" s="13">
        <f>ROUND(53449199.4,2)</f>
        <v>53449199.4</v>
      </c>
      <c r="E33" s="13">
        <f t="shared" si="0"/>
        <v>0</v>
      </c>
      <c r="F33" s="13">
        <f>ROUND(22879814.4,2)</f>
        <v>22879814.4</v>
      </c>
      <c r="G33" s="13">
        <f>ROUND(30569385,2)</f>
        <v>30569385</v>
      </c>
      <c r="H33" s="13">
        <f>ROUND(12019412.74,2)</f>
        <v>12019412.74</v>
      </c>
      <c r="I33" s="13">
        <f t="shared" si="1"/>
        <v>0</v>
      </c>
      <c r="J33" s="13">
        <f>ROUND(3932155.3,2)</f>
        <v>3932155.3</v>
      </c>
      <c r="K33" s="13">
        <f>ROUND(8087257.44,2)</f>
        <v>8087257.44</v>
      </c>
    </row>
    <row r="34" spans="1:11" ht="23.25">
      <c r="A34" s="11" t="s">
        <v>977</v>
      </c>
      <c r="B34" s="12" t="s">
        <v>572</v>
      </c>
      <c r="C34" s="12" t="s">
        <v>189</v>
      </c>
      <c r="D34" s="13">
        <f>ROUND(40168836.77,2)</f>
        <v>40168836.77</v>
      </c>
      <c r="E34" s="13">
        <f t="shared" si="0"/>
        <v>0</v>
      </c>
      <c r="F34" s="13">
        <f>ROUND(16839890.77,2)</f>
        <v>16839890.77</v>
      </c>
      <c r="G34" s="13">
        <f>ROUND(23328946,2)</f>
        <v>23328946</v>
      </c>
      <c r="H34" s="13">
        <f>ROUND(9544661.23,2)</f>
        <v>9544661.23</v>
      </c>
      <c r="I34" s="13">
        <f t="shared" si="1"/>
        <v>0</v>
      </c>
      <c r="J34" s="13">
        <f>ROUND(3139349.23,2)</f>
        <v>3139349.23</v>
      </c>
      <c r="K34" s="13">
        <f>ROUND(6405312,2)</f>
        <v>6405312</v>
      </c>
    </row>
    <row r="35" spans="1:11" ht="23.25">
      <c r="A35" s="11" t="s">
        <v>314</v>
      </c>
      <c r="B35" s="12" t="s">
        <v>217</v>
      </c>
      <c r="C35" s="12" t="s">
        <v>288</v>
      </c>
      <c r="D35" s="13">
        <f>ROUND(7700,2)</f>
        <v>7700</v>
      </c>
      <c r="E35" s="13">
        <f t="shared" si="0"/>
        <v>0</v>
      </c>
      <c r="F35" s="13">
        <f>ROUND(900,2)</f>
        <v>900</v>
      </c>
      <c r="G35" s="13">
        <f>ROUND(6800,2)</f>
        <v>6800</v>
      </c>
      <c r="H35" s="13">
        <f>ROUND(600,2)</f>
        <v>600</v>
      </c>
      <c r="I35" s="13">
        <f t="shared" si="1"/>
        <v>0</v>
      </c>
      <c r="J35" s="13">
        <f>ROUND(600,2)</f>
        <v>600</v>
      </c>
      <c r="K35" s="13">
        <f>ROUND(0,2)</f>
        <v>0</v>
      </c>
    </row>
    <row r="36" spans="1:11" ht="34.5">
      <c r="A36" s="11" t="s">
        <v>909</v>
      </c>
      <c r="B36" s="12" t="s">
        <v>651</v>
      </c>
      <c r="C36" s="12" t="s">
        <v>122</v>
      </c>
      <c r="D36" s="13">
        <f>ROUND(13272662.63,2)</f>
        <v>13272662.63</v>
      </c>
      <c r="E36" s="13">
        <f t="shared" si="0"/>
        <v>0</v>
      </c>
      <c r="F36" s="13">
        <f>ROUND(6039023.63,2)</f>
        <v>6039023.63</v>
      </c>
      <c r="G36" s="13">
        <f>ROUND(7233639,2)</f>
        <v>7233639</v>
      </c>
      <c r="H36" s="13">
        <f>ROUND(2474151.51,2)</f>
        <v>2474151.51</v>
      </c>
      <c r="I36" s="13">
        <f t="shared" si="1"/>
        <v>0</v>
      </c>
      <c r="J36" s="13">
        <f>ROUND(792206.07,2)</f>
        <v>792206.07</v>
      </c>
      <c r="K36" s="13">
        <f>ROUND(1681945.44,2)</f>
        <v>1681945.44</v>
      </c>
    </row>
    <row r="37" spans="1:11" ht="23.25">
      <c r="A37" s="11" t="s">
        <v>320</v>
      </c>
      <c r="B37" s="12" t="s">
        <v>886</v>
      </c>
      <c r="C37" s="12" t="s">
        <v>238</v>
      </c>
      <c r="D37" s="13">
        <f>ROUND(9072024.01,2)</f>
        <v>9072024.01</v>
      </c>
      <c r="E37" s="13">
        <f t="shared" si="0"/>
        <v>0</v>
      </c>
      <c r="F37" s="13">
        <f>ROUND(1731929.01,2)</f>
        <v>1731929.01</v>
      </c>
      <c r="G37" s="13">
        <f>ROUND(7340095,2)</f>
        <v>7340095</v>
      </c>
      <c r="H37" s="13">
        <f>ROUND(3932112.74,2)</f>
        <v>3932112.74</v>
      </c>
      <c r="I37" s="13">
        <f t="shared" si="1"/>
        <v>0</v>
      </c>
      <c r="J37" s="13">
        <f>ROUND(1356491.39,2)</f>
        <v>1356491.39</v>
      </c>
      <c r="K37" s="13">
        <f>ROUND(2575621.35,2)</f>
        <v>2575621.35</v>
      </c>
    </row>
    <row r="38" spans="1:11" ht="23.25">
      <c r="A38" s="11" t="s">
        <v>891</v>
      </c>
      <c r="B38" s="12" t="s">
        <v>327</v>
      </c>
      <c r="C38" s="12" t="s">
        <v>631</v>
      </c>
      <c r="D38" s="13">
        <f>ROUND(1530747,2)</f>
        <v>1530747</v>
      </c>
      <c r="E38" s="13">
        <f aca="true" t="shared" si="4" ref="E38:E69">ROUND(0,2)</f>
        <v>0</v>
      </c>
      <c r="F38" s="13">
        <f>ROUND(695700,2)</f>
        <v>695700</v>
      </c>
      <c r="G38" s="13">
        <f>ROUND(835047,2)</f>
        <v>835047</v>
      </c>
      <c r="H38" s="13">
        <f>ROUND(898124.6,2)</f>
        <v>898124.6</v>
      </c>
      <c r="I38" s="13">
        <f aca="true" t="shared" si="5" ref="I38:I69">ROUND(0,2)</f>
        <v>0</v>
      </c>
      <c r="J38" s="13">
        <f>ROUND(641731.33,2)</f>
        <v>641731.33</v>
      </c>
      <c r="K38" s="13">
        <f>ROUND(256393.27,2)</f>
        <v>256393.27</v>
      </c>
    </row>
    <row r="39" spans="1:11" ht="23.25">
      <c r="A39" s="11" t="s">
        <v>262</v>
      </c>
      <c r="B39" s="12" t="s">
        <v>998</v>
      </c>
      <c r="C39" s="12" t="s">
        <v>454</v>
      </c>
      <c r="D39" s="13">
        <f>ROUND(388499,2)</f>
        <v>388499</v>
      </c>
      <c r="E39" s="13">
        <f t="shared" si="4"/>
        <v>0</v>
      </c>
      <c r="F39" s="13">
        <f>ROUND(5000,2)</f>
        <v>5000</v>
      </c>
      <c r="G39" s="13">
        <f>ROUND(383499,2)</f>
        <v>383499</v>
      </c>
      <c r="H39" s="13">
        <f>ROUND(123453.97,2)</f>
        <v>123453.97</v>
      </c>
      <c r="I39" s="13">
        <f t="shared" si="5"/>
        <v>0</v>
      </c>
      <c r="J39" s="13">
        <f>ROUND(0,2)</f>
        <v>0</v>
      </c>
      <c r="K39" s="13">
        <f>ROUND(123453.97,2)</f>
        <v>123453.97</v>
      </c>
    </row>
    <row r="40" spans="1:11" ht="23.25">
      <c r="A40" s="11" t="s">
        <v>685</v>
      </c>
      <c r="B40" s="12" t="s">
        <v>404</v>
      </c>
      <c r="C40" s="12" t="s">
        <v>866</v>
      </c>
      <c r="D40" s="13">
        <f>ROUND(2671333,2)</f>
        <v>2671333</v>
      </c>
      <c r="E40" s="13">
        <f t="shared" si="4"/>
        <v>0</v>
      </c>
      <c r="F40" s="13">
        <f>ROUND(260650,2)</f>
        <v>260650</v>
      </c>
      <c r="G40" s="13">
        <f>ROUND(2410683,2)</f>
        <v>2410683</v>
      </c>
      <c r="H40" s="13">
        <f>ROUND(1360120.52,2)</f>
        <v>1360120.52</v>
      </c>
      <c r="I40" s="13">
        <f t="shared" si="5"/>
        <v>0</v>
      </c>
      <c r="J40" s="13">
        <f>ROUND(198911.48,2)</f>
        <v>198911.48</v>
      </c>
      <c r="K40" s="13">
        <f>ROUND(1161209.04,2)</f>
        <v>1161209.04</v>
      </c>
    </row>
    <row r="41" spans="1:11" ht="34.5">
      <c r="A41" s="11" t="s">
        <v>546</v>
      </c>
      <c r="B41" s="12" t="s">
        <v>364</v>
      </c>
      <c r="C41" s="12" t="s">
        <v>695</v>
      </c>
      <c r="D41" s="13">
        <f>ROUND(1260450,2)</f>
        <v>1260450</v>
      </c>
      <c r="E41" s="13">
        <f t="shared" si="4"/>
        <v>0</v>
      </c>
      <c r="F41" s="13">
        <f>ROUND(20400,2)</f>
        <v>20400</v>
      </c>
      <c r="G41" s="13">
        <f>ROUND(1240050,2)</f>
        <v>1240050</v>
      </c>
      <c r="H41" s="13">
        <f>ROUND(488780.81,2)</f>
        <v>488780.81</v>
      </c>
      <c r="I41" s="13">
        <f t="shared" si="5"/>
        <v>0</v>
      </c>
      <c r="J41" s="13">
        <f>ROUND(16825,2)</f>
        <v>16825</v>
      </c>
      <c r="K41" s="13">
        <f>ROUND(471955.81,2)</f>
        <v>471955.81</v>
      </c>
    </row>
    <row r="42" spans="1:11" ht="23.25">
      <c r="A42" s="11" t="s">
        <v>148</v>
      </c>
      <c r="B42" s="12" t="s">
        <v>965</v>
      </c>
      <c r="C42" s="12" t="s">
        <v>736</v>
      </c>
      <c r="D42" s="13">
        <f>ROUND(3220995.01,2)</f>
        <v>3220995.01</v>
      </c>
      <c r="E42" s="13">
        <f t="shared" si="4"/>
        <v>0</v>
      </c>
      <c r="F42" s="13">
        <f>ROUND(750179.01,2)</f>
        <v>750179.01</v>
      </c>
      <c r="G42" s="13">
        <f>ROUND(2470816,2)</f>
        <v>2470816</v>
      </c>
      <c r="H42" s="13">
        <f>ROUND(1061632.84,2)</f>
        <v>1061632.84</v>
      </c>
      <c r="I42" s="13">
        <f t="shared" si="5"/>
        <v>0</v>
      </c>
      <c r="J42" s="13">
        <f>ROUND(499023.58,2)</f>
        <v>499023.58</v>
      </c>
      <c r="K42" s="13">
        <f>ROUND(562609.26,2)</f>
        <v>562609.26</v>
      </c>
    </row>
    <row r="43" spans="1:11" ht="23.25">
      <c r="A43" s="11" t="s">
        <v>373</v>
      </c>
      <c r="B43" s="12" t="s">
        <v>64</v>
      </c>
      <c r="C43" s="12" t="s">
        <v>961</v>
      </c>
      <c r="D43" s="13">
        <f>ROUND(467177.07,2)</f>
        <v>467177.07</v>
      </c>
      <c r="E43" s="13">
        <f t="shared" si="4"/>
        <v>0</v>
      </c>
      <c r="F43" s="13">
        <f>ROUND(130133.07,2)</f>
        <v>130133.07</v>
      </c>
      <c r="G43" s="13">
        <f>ROUND(337044,2)</f>
        <v>337044</v>
      </c>
      <c r="H43" s="13">
        <f>ROUND(355333.73,2)</f>
        <v>355333.73</v>
      </c>
      <c r="I43" s="13">
        <f t="shared" si="5"/>
        <v>0</v>
      </c>
      <c r="J43" s="13">
        <f>ROUND(128161.68,2)</f>
        <v>128161.68</v>
      </c>
      <c r="K43" s="13">
        <f>ROUND(227172.05,2)</f>
        <v>227172.05</v>
      </c>
    </row>
    <row r="44" spans="1:11" ht="34.5">
      <c r="A44" s="11" t="s">
        <v>773</v>
      </c>
      <c r="B44" s="12" t="s">
        <v>442</v>
      </c>
      <c r="C44" s="12" t="s">
        <v>795</v>
      </c>
      <c r="D44" s="13">
        <f>ROUND(4648396.99,2)</f>
        <v>4648396.99</v>
      </c>
      <c r="E44" s="13">
        <f t="shared" si="4"/>
        <v>0</v>
      </c>
      <c r="F44" s="13">
        <f>ROUND(606999.99,2)</f>
        <v>606999.99</v>
      </c>
      <c r="G44" s="13">
        <f>ROUND(4041397,2)</f>
        <v>4041397</v>
      </c>
      <c r="H44" s="13">
        <f>ROUND(2077956.8,2)</f>
        <v>2077956.8</v>
      </c>
      <c r="I44" s="13">
        <f t="shared" si="5"/>
        <v>0</v>
      </c>
      <c r="J44" s="13">
        <f>ROUND(546847.83,2)</f>
        <v>546847.83</v>
      </c>
      <c r="K44" s="13">
        <f>ROUND(1531108.97,2)</f>
        <v>1531108.97</v>
      </c>
    </row>
    <row r="45" spans="1:11" ht="34.5">
      <c r="A45" s="11" t="s">
        <v>172</v>
      </c>
      <c r="B45" s="12" t="s">
        <v>178</v>
      </c>
      <c r="C45" s="12" t="s">
        <v>953</v>
      </c>
      <c r="D45" s="13">
        <f>ROUND(1035838.73,2)</f>
        <v>1035838.73</v>
      </c>
      <c r="E45" s="13">
        <f t="shared" si="4"/>
        <v>0</v>
      </c>
      <c r="F45" s="13">
        <f>ROUND(307438.73,2)</f>
        <v>307438.73</v>
      </c>
      <c r="G45" s="13">
        <f>ROUND(728400,2)</f>
        <v>728400</v>
      </c>
      <c r="H45" s="13">
        <f>ROUND(746905.33,2)</f>
        <v>746905.33</v>
      </c>
      <c r="I45" s="13">
        <f t="shared" si="5"/>
        <v>0</v>
      </c>
      <c r="J45" s="13">
        <f>ROUND(306002.73,2)</f>
        <v>306002.73</v>
      </c>
      <c r="K45" s="13">
        <f>ROUND(440902.6,2)</f>
        <v>440902.6</v>
      </c>
    </row>
    <row r="46" spans="1:11" ht="45.75">
      <c r="A46" s="11" t="s">
        <v>664</v>
      </c>
      <c r="B46" s="12" t="s">
        <v>422</v>
      </c>
      <c r="C46" s="12" t="s">
        <v>745</v>
      </c>
      <c r="D46" s="13">
        <f>ROUND(3612558.26,2)</f>
        <v>3612558.26</v>
      </c>
      <c r="E46" s="13">
        <f t="shared" si="4"/>
        <v>0</v>
      </c>
      <c r="F46" s="13">
        <f>ROUND(299561.26,2)</f>
        <v>299561.26</v>
      </c>
      <c r="G46" s="13">
        <f>ROUND(3312997,2)</f>
        <v>3312997</v>
      </c>
      <c r="H46" s="13">
        <f>ROUND(1331051.47,2)</f>
        <v>1331051.47</v>
      </c>
      <c r="I46" s="13">
        <f t="shared" si="5"/>
        <v>0</v>
      </c>
      <c r="J46" s="13">
        <f>ROUND(240845.1,2)</f>
        <v>240845.1</v>
      </c>
      <c r="K46" s="13">
        <f>ROUND(1090206.37,2)</f>
        <v>1090206.37</v>
      </c>
    </row>
    <row r="47" spans="1:11" ht="45.75">
      <c r="A47" s="11" t="s">
        <v>539</v>
      </c>
      <c r="B47" s="12" t="s">
        <v>1035</v>
      </c>
      <c r="C47" s="12" t="s">
        <v>549</v>
      </c>
      <c r="D47" s="13">
        <f>ROUND(821554,2)</f>
        <v>821554</v>
      </c>
      <c r="E47" s="13">
        <f t="shared" si="4"/>
        <v>0</v>
      </c>
      <c r="F47" s="13">
        <f>ROUND(71000,2)</f>
        <v>71000</v>
      </c>
      <c r="G47" s="13">
        <f>ROUND(750554,2)</f>
        <v>750554</v>
      </c>
      <c r="H47" s="13">
        <f>ROUND(594793.28,2)</f>
        <v>594793.28</v>
      </c>
      <c r="I47" s="13">
        <f t="shared" si="5"/>
        <v>0</v>
      </c>
      <c r="J47" s="13">
        <f>ROUND(70090,2)</f>
        <v>70090</v>
      </c>
      <c r="K47" s="13">
        <f>ROUND(524703.28,2)</f>
        <v>524703.28</v>
      </c>
    </row>
    <row r="48" spans="1:11" ht="23.25">
      <c r="A48" s="11" t="s">
        <v>84</v>
      </c>
      <c r="B48" s="12" t="s">
        <v>597</v>
      </c>
      <c r="C48" s="12" t="s">
        <v>99</v>
      </c>
      <c r="D48" s="13">
        <f>ROUND(821554,2)</f>
        <v>821554</v>
      </c>
      <c r="E48" s="13">
        <f t="shared" si="4"/>
        <v>0</v>
      </c>
      <c r="F48" s="13">
        <f>ROUND(71000,2)</f>
        <v>71000</v>
      </c>
      <c r="G48" s="13">
        <f>ROUND(750554,2)</f>
        <v>750554</v>
      </c>
      <c r="H48" s="13">
        <f>ROUND(594793.28,2)</f>
        <v>594793.28</v>
      </c>
      <c r="I48" s="13">
        <f t="shared" si="5"/>
        <v>0</v>
      </c>
      <c r="J48" s="13">
        <f>ROUND(70090,2)</f>
        <v>70090</v>
      </c>
      <c r="K48" s="13">
        <f>ROUND(524703.28,2)</f>
        <v>524703.28</v>
      </c>
    </row>
    <row r="49" spans="1:11" ht="23.25">
      <c r="A49" s="11" t="s">
        <v>1027</v>
      </c>
      <c r="B49" s="12" t="s">
        <v>881</v>
      </c>
      <c r="C49" s="12" t="s">
        <v>961</v>
      </c>
      <c r="D49" s="13">
        <f>ROUND(821554,2)</f>
        <v>821554</v>
      </c>
      <c r="E49" s="13">
        <f t="shared" si="4"/>
        <v>0</v>
      </c>
      <c r="F49" s="13">
        <f>ROUND(71000,2)</f>
        <v>71000</v>
      </c>
      <c r="G49" s="13">
        <f>ROUND(750554,2)</f>
        <v>750554</v>
      </c>
      <c r="H49" s="13">
        <f>ROUND(594793.28,2)</f>
        <v>594793.28</v>
      </c>
      <c r="I49" s="13">
        <f t="shared" si="5"/>
        <v>0</v>
      </c>
      <c r="J49" s="13">
        <f>ROUND(70090,2)</f>
        <v>70090</v>
      </c>
      <c r="K49" s="13">
        <f>ROUND(524703.28,2)</f>
        <v>524703.28</v>
      </c>
    </row>
    <row r="50" spans="1:11" ht="23.25">
      <c r="A50" s="11" t="s">
        <v>784</v>
      </c>
      <c r="B50" s="12" t="s">
        <v>731</v>
      </c>
      <c r="C50" s="12" t="s">
        <v>117</v>
      </c>
      <c r="D50" s="13">
        <f>ROUND(683000,2)</f>
        <v>683000</v>
      </c>
      <c r="E50" s="13">
        <f t="shared" si="4"/>
        <v>0</v>
      </c>
      <c r="F50" s="13">
        <f>ROUND(500000,2)</f>
        <v>500000</v>
      </c>
      <c r="G50" s="13">
        <f>ROUND(183000,2)</f>
        <v>183000</v>
      </c>
      <c r="H50" s="13">
        <f>ROUND(0,2)</f>
        <v>0</v>
      </c>
      <c r="I50" s="13">
        <f t="shared" si="5"/>
        <v>0</v>
      </c>
      <c r="J50" s="13">
        <f aca="true" t="shared" si="6" ref="J50:K52">ROUND(0,2)</f>
        <v>0</v>
      </c>
      <c r="K50" s="13">
        <f t="shared" si="6"/>
        <v>0</v>
      </c>
    </row>
    <row r="51" spans="1:11" ht="23.25">
      <c r="A51" s="11" t="s">
        <v>183</v>
      </c>
      <c r="B51" s="12" t="s">
        <v>890</v>
      </c>
      <c r="C51" s="12" t="s">
        <v>99</v>
      </c>
      <c r="D51" s="13">
        <f>ROUND(683000,2)</f>
        <v>683000</v>
      </c>
      <c r="E51" s="13">
        <f t="shared" si="4"/>
        <v>0</v>
      </c>
      <c r="F51" s="13">
        <f>ROUND(500000,2)</f>
        <v>500000</v>
      </c>
      <c r="G51" s="13">
        <f>ROUND(183000,2)</f>
        <v>183000</v>
      </c>
      <c r="H51" s="13">
        <f>ROUND(0,2)</f>
        <v>0</v>
      </c>
      <c r="I51" s="13">
        <f t="shared" si="5"/>
        <v>0</v>
      </c>
      <c r="J51" s="13">
        <f t="shared" si="6"/>
        <v>0</v>
      </c>
      <c r="K51" s="13">
        <f t="shared" si="6"/>
        <v>0</v>
      </c>
    </row>
    <row r="52" spans="1:11" ht="23.25">
      <c r="A52" s="11" t="s">
        <v>840</v>
      </c>
      <c r="B52" s="12" t="s">
        <v>605</v>
      </c>
      <c r="C52" s="12" t="s">
        <v>961</v>
      </c>
      <c r="D52" s="13">
        <f>ROUND(683000,2)</f>
        <v>683000</v>
      </c>
      <c r="E52" s="13">
        <f t="shared" si="4"/>
        <v>0</v>
      </c>
      <c r="F52" s="13">
        <f>ROUND(500000,2)</f>
        <v>500000</v>
      </c>
      <c r="G52" s="13">
        <f>ROUND(183000,2)</f>
        <v>183000</v>
      </c>
      <c r="H52" s="13">
        <f>ROUND(0,2)</f>
        <v>0</v>
      </c>
      <c r="I52" s="13">
        <f t="shared" si="5"/>
        <v>0</v>
      </c>
      <c r="J52" s="13">
        <f t="shared" si="6"/>
        <v>0</v>
      </c>
      <c r="K52" s="13">
        <f t="shared" si="6"/>
        <v>0</v>
      </c>
    </row>
    <row r="53" spans="1:11" ht="34.5">
      <c r="A53" s="11" t="s">
        <v>482</v>
      </c>
      <c r="B53" s="12" t="s">
        <v>224</v>
      </c>
      <c r="C53" s="12" t="s">
        <v>788</v>
      </c>
      <c r="D53" s="13">
        <f>ROUND(1985000.7,2)</f>
        <v>1985000.7</v>
      </c>
      <c r="E53" s="13">
        <f t="shared" si="4"/>
        <v>0</v>
      </c>
      <c r="F53" s="13">
        <f>ROUND(1985000.7,2)</f>
        <v>1985000.7</v>
      </c>
      <c r="G53" s="13">
        <f aca="true" t="shared" si="7" ref="G53:G66">ROUND(0,2)</f>
        <v>0</v>
      </c>
      <c r="H53" s="13">
        <f>ROUND(355173.47,2)</f>
        <v>355173.47</v>
      </c>
      <c r="I53" s="13">
        <f t="shared" si="5"/>
        <v>0</v>
      </c>
      <c r="J53" s="13">
        <f>ROUND(355173.47,2)</f>
        <v>355173.47</v>
      </c>
      <c r="K53" s="13">
        <f aca="true" t="shared" si="8" ref="K53:K66">ROUND(0,2)</f>
        <v>0</v>
      </c>
    </row>
    <row r="54" spans="1:11" ht="23.25">
      <c r="A54" s="11" t="s">
        <v>943</v>
      </c>
      <c r="B54" s="12" t="s">
        <v>363</v>
      </c>
      <c r="C54" s="12" t="s">
        <v>99</v>
      </c>
      <c r="D54" s="13">
        <f>ROUND(1785800.7,2)</f>
        <v>1785800.7</v>
      </c>
      <c r="E54" s="13">
        <f t="shared" si="4"/>
        <v>0</v>
      </c>
      <c r="F54" s="13">
        <f>ROUND(1785800.7,2)</f>
        <v>1785800.7</v>
      </c>
      <c r="G54" s="13">
        <f t="shared" si="7"/>
        <v>0</v>
      </c>
      <c r="H54" s="13">
        <f>ROUND(342764.47,2)</f>
        <v>342764.47</v>
      </c>
      <c r="I54" s="13">
        <f t="shared" si="5"/>
        <v>0</v>
      </c>
      <c r="J54" s="13">
        <f>ROUND(342764.47,2)</f>
        <v>342764.47</v>
      </c>
      <c r="K54" s="13">
        <f t="shared" si="8"/>
        <v>0</v>
      </c>
    </row>
    <row r="55" spans="1:11" ht="45.75">
      <c r="A55" s="11" t="s">
        <v>453</v>
      </c>
      <c r="B55" s="12" t="s">
        <v>95</v>
      </c>
      <c r="C55" s="12" t="s">
        <v>801</v>
      </c>
      <c r="D55" s="13">
        <f>ROUND(1610000.7,2)</f>
        <v>1610000.7</v>
      </c>
      <c r="E55" s="13">
        <f t="shared" si="4"/>
        <v>0</v>
      </c>
      <c r="F55" s="13">
        <f>ROUND(1610000.7,2)</f>
        <v>1610000.7</v>
      </c>
      <c r="G55" s="13">
        <f t="shared" si="7"/>
        <v>0</v>
      </c>
      <c r="H55" s="13">
        <f>ROUND(336564.47,2)</f>
        <v>336564.47</v>
      </c>
      <c r="I55" s="13">
        <f t="shared" si="5"/>
        <v>0</v>
      </c>
      <c r="J55" s="13">
        <f>ROUND(336564.47,2)</f>
        <v>336564.47</v>
      </c>
      <c r="K55" s="13">
        <f t="shared" si="8"/>
        <v>0</v>
      </c>
    </row>
    <row r="56" spans="1:11" ht="23.25">
      <c r="A56" s="11" t="s">
        <v>97</v>
      </c>
      <c r="B56" s="12" t="s">
        <v>517</v>
      </c>
      <c r="C56" s="12" t="s">
        <v>189</v>
      </c>
      <c r="D56" s="13">
        <f>ROUND(1239000.7,2)</f>
        <v>1239000.7</v>
      </c>
      <c r="E56" s="13">
        <f t="shared" si="4"/>
        <v>0</v>
      </c>
      <c r="F56" s="13">
        <f>ROUND(1239000.7,2)</f>
        <v>1239000.7</v>
      </c>
      <c r="G56" s="13">
        <f t="shared" si="7"/>
        <v>0</v>
      </c>
      <c r="H56" s="13">
        <f>ROUND(266901.18,2)</f>
        <v>266901.18</v>
      </c>
      <c r="I56" s="13">
        <f t="shared" si="5"/>
        <v>0</v>
      </c>
      <c r="J56" s="13">
        <f>ROUND(266901.18,2)</f>
        <v>266901.18</v>
      </c>
      <c r="K56" s="13">
        <f t="shared" si="8"/>
        <v>0</v>
      </c>
    </row>
    <row r="57" spans="1:11" ht="34.5">
      <c r="A57" s="11" t="s">
        <v>236</v>
      </c>
      <c r="B57" s="12" t="s">
        <v>703</v>
      </c>
      <c r="C57" s="12" t="s">
        <v>122</v>
      </c>
      <c r="D57" s="13">
        <f>ROUND(371000,2)</f>
        <v>371000</v>
      </c>
      <c r="E57" s="13">
        <f t="shared" si="4"/>
        <v>0</v>
      </c>
      <c r="F57" s="13">
        <f>ROUND(371000,2)</f>
        <v>371000</v>
      </c>
      <c r="G57" s="13">
        <f t="shared" si="7"/>
        <v>0</v>
      </c>
      <c r="H57" s="13">
        <f>ROUND(69663.29,2)</f>
        <v>69663.29</v>
      </c>
      <c r="I57" s="13">
        <f t="shared" si="5"/>
        <v>0</v>
      </c>
      <c r="J57" s="13">
        <f>ROUND(69663.29,2)</f>
        <v>69663.29</v>
      </c>
      <c r="K57" s="13">
        <f t="shared" si="8"/>
        <v>0</v>
      </c>
    </row>
    <row r="58" spans="1:11" ht="23.25">
      <c r="A58" s="11" t="s">
        <v>705</v>
      </c>
      <c r="B58" s="12" t="s">
        <v>867</v>
      </c>
      <c r="C58" s="12" t="s">
        <v>238</v>
      </c>
      <c r="D58" s="13">
        <f>ROUND(175800,2)</f>
        <v>175800</v>
      </c>
      <c r="E58" s="13">
        <f t="shared" si="4"/>
        <v>0</v>
      </c>
      <c r="F58" s="13">
        <f>ROUND(175800,2)</f>
        <v>175800</v>
      </c>
      <c r="G58" s="13">
        <f t="shared" si="7"/>
        <v>0</v>
      </c>
      <c r="H58" s="13">
        <f>ROUND(6200,2)</f>
        <v>6200</v>
      </c>
      <c r="I58" s="13">
        <f t="shared" si="5"/>
        <v>0</v>
      </c>
      <c r="J58" s="13">
        <f>ROUND(6200,2)</f>
        <v>6200</v>
      </c>
      <c r="K58" s="13">
        <f t="shared" si="8"/>
        <v>0</v>
      </c>
    </row>
    <row r="59" spans="1:11" ht="23.25">
      <c r="A59" s="11" t="s">
        <v>52</v>
      </c>
      <c r="B59" s="12" t="s">
        <v>273</v>
      </c>
      <c r="C59" s="12" t="s">
        <v>631</v>
      </c>
      <c r="D59" s="13">
        <f>ROUND(33000,2)</f>
        <v>33000</v>
      </c>
      <c r="E59" s="13">
        <f t="shared" si="4"/>
        <v>0</v>
      </c>
      <c r="F59" s="13">
        <f>ROUND(33000,2)</f>
        <v>33000</v>
      </c>
      <c r="G59" s="13">
        <f t="shared" si="7"/>
        <v>0</v>
      </c>
      <c r="H59" s="13">
        <f>ROUND(3000,2)</f>
        <v>3000</v>
      </c>
      <c r="I59" s="13">
        <f t="shared" si="5"/>
        <v>0</v>
      </c>
      <c r="J59" s="13">
        <f>ROUND(3000,2)</f>
        <v>3000</v>
      </c>
      <c r="K59" s="13">
        <f t="shared" si="8"/>
        <v>0</v>
      </c>
    </row>
    <row r="60" spans="1:11" ht="23.25">
      <c r="A60" s="11" t="s">
        <v>624</v>
      </c>
      <c r="B60" s="12" t="s">
        <v>1012</v>
      </c>
      <c r="C60" s="12" t="s">
        <v>454</v>
      </c>
      <c r="D60" s="13">
        <f>ROUND(13000,2)</f>
        <v>13000</v>
      </c>
      <c r="E60" s="13">
        <f t="shared" si="4"/>
        <v>0</v>
      </c>
      <c r="F60" s="13">
        <f>ROUND(13000,2)</f>
        <v>13000</v>
      </c>
      <c r="G60" s="13">
        <f t="shared" si="7"/>
        <v>0</v>
      </c>
      <c r="H60" s="13">
        <f>ROUND(0,2)</f>
        <v>0</v>
      </c>
      <c r="I60" s="13">
        <f t="shared" si="5"/>
        <v>0</v>
      </c>
      <c r="J60" s="13">
        <f>ROUND(0,2)</f>
        <v>0</v>
      </c>
      <c r="K60" s="13">
        <f t="shared" si="8"/>
        <v>0</v>
      </c>
    </row>
    <row r="61" spans="1:11" ht="23.25">
      <c r="A61" s="11" t="s">
        <v>131</v>
      </c>
      <c r="B61" s="12" t="s">
        <v>448</v>
      </c>
      <c r="C61" s="12" t="s">
        <v>866</v>
      </c>
      <c r="D61" s="13">
        <f>ROUND(25000,2)</f>
        <v>25000</v>
      </c>
      <c r="E61" s="13">
        <f t="shared" si="4"/>
        <v>0</v>
      </c>
      <c r="F61" s="13">
        <f>ROUND(25000,2)</f>
        <v>25000</v>
      </c>
      <c r="G61" s="13">
        <f t="shared" si="7"/>
        <v>0</v>
      </c>
      <c r="H61" s="13">
        <f>ROUND(0,2)</f>
        <v>0</v>
      </c>
      <c r="I61" s="13">
        <f t="shared" si="5"/>
        <v>0</v>
      </c>
      <c r="J61" s="13">
        <f>ROUND(0,2)</f>
        <v>0</v>
      </c>
      <c r="K61" s="13">
        <f t="shared" si="8"/>
        <v>0</v>
      </c>
    </row>
    <row r="62" spans="1:11" ht="34.5">
      <c r="A62" s="11" t="s">
        <v>144</v>
      </c>
      <c r="B62" s="12" t="s">
        <v>379</v>
      </c>
      <c r="C62" s="12" t="s">
        <v>695</v>
      </c>
      <c r="D62" s="13">
        <f>ROUND(18800,2)</f>
        <v>18800</v>
      </c>
      <c r="E62" s="13">
        <f t="shared" si="4"/>
        <v>0</v>
      </c>
      <c r="F62" s="13">
        <f>ROUND(18800,2)</f>
        <v>18800</v>
      </c>
      <c r="G62" s="13">
        <f t="shared" si="7"/>
        <v>0</v>
      </c>
      <c r="H62" s="13">
        <f>ROUND(2200,2)</f>
        <v>2200</v>
      </c>
      <c r="I62" s="13">
        <f t="shared" si="5"/>
        <v>0</v>
      </c>
      <c r="J62" s="13">
        <f>ROUND(2200,2)</f>
        <v>2200</v>
      </c>
      <c r="K62" s="13">
        <f t="shared" si="8"/>
        <v>0</v>
      </c>
    </row>
    <row r="63" spans="1:11" ht="23.25">
      <c r="A63" s="11" t="s">
        <v>729</v>
      </c>
      <c r="B63" s="12" t="s">
        <v>922</v>
      </c>
      <c r="C63" s="12" t="s">
        <v>736</v>
      </c>
      <c r="D63" s="13">
        <f>ROUND(86000,2)</f>
        <v>86000</v>
      </c>
      <c r="E63" s="13">
        <f t="shared" si="4"/>
        <v>0</v>
      </c>
      <c r="F63" s="13">
        <f>ROUND(86000,2)</f>
        <v>86000</v>
      </c>
      <c r="G63" s="13">
        <f t="shared" si="7"/>
        <v>0</v>
      </c>
      <c r="H63" s="13">
        <f>ROUND(1000,2)</f>
        <v>1000</v>
      </c>
      <c r="I63" s="13">
        <f t="shared" si="5"/>
        <v>0</v>
      </c>
      <c r="J63" s="13">
        <f>ROUND(1000,2)</f>
        <v>1000</v>
      </c>
      <c r="K63" s="13">
        <f t="shared" si="8"/>
        <v>0</v>
      </c>
    </row>
    <row r="64" spans="1:11" ht="34.5">
      <c r="A64" s="11" t="s">
        <v>93</v>
      </c>
      <c r="B64" s="12" t="s">
        <v>396</v>
      </c>
      <c r="C64" s="12" t="s">
        <v>795</v>
      </c>
      <c r="D64" s="13">
        <f>ROUND(199200,2)</f>
        <v>199200</v>
      </c>
      <c r="E64" s="13">
        <f t="shared" si="4"/>
        <v>0</v>
      </c>
      <c r="F64" s="13">
        <f>ROUND(199200,2)</f>
        <v>199200</v>
      </c>
      <c r="G64" s="13">
        <f t="shared" si="7"/>
        <v>0</v>
      </c>
      <c r="H64" s="13">
        <f>ROUND(12409,2)</f>
        <v>12409</v>
      </c>
      <c r="I64" s="13">
        <f t="shared" si="5"/>
        <v>0</v>
      </c>
      <c r="J64" s="13">
        <f>ROUND(12409,2)</f>
        <v>12409</v>
      </c>
      <c r="K64" s="13">
        <f t="shared" si="8"/>
        <v>0</v>
      </c>
    </row>
    <row r="65" spans="1:11" ht="34.5">
      <c r="A65" s="11" t="s">
        <v>699</v>
      </c>
      <c r="B65" s="12" t="s">
        <v>126</v>
      </c>
      <c r="C65" s="12" t="s">
        <v>953</v>
      </c>
      <c r="D65" s="13">
        <f>ROUND(106000,2)</f>
        <v>106000</v>
      </c>
      <c r="E65" s="13">
        <f t="shared" si="4"/>
        <v>0</v>
      </c>
      <c r="F65" s="13">
        <f>ROUND(106000,2)</f>
        <v>106000</v>
      </c>
      <c r="G65" s="13">
        <f t="shared" si="7"/>
        <v>0</v>
      </c>
      <c r="H65" s="13">
        <f>ROUND(7809,2)</f>
        <v>7809</v>
      </c>
      <c r="I65" s="13">
        <f t="shared" si="5"/>
        <v>0</v>
      </c>
      <c r="J65" s="13">
        <f>ROUND(7809,2)</f>
        <v>7809</v>
      </c>
      <c r="K65" s="13">
        <f t="shared" si="8"/>
        <v>0</v>
      </c>
    </row>
    <row r="66" spans="1:11" ht="45.75">
      <c r="A66" s="11" t="s">
        <v>244</v>
      </c>
      <c r="B66" s="12" t="s">
        <v>413</v>
      </c>
      <c r="C66" s="12" t="s">
        <v>745</v>
      </c>
      <c r="D66" s="13">
        <f>ROUND(93200,2)</f>
        <v>93200</v>
      </c>
      <c r="E66" s="13">
        <f t="shared" si="4"/>
        <v>0</v>
      </c>
      <c r="F66" s="13">
        <f>ROUND(93200,2)</f>
        <v>93200</v>
      </c>
      <c r="G66" s="13">
        <f t="shared" si="7"/>
        <v>0</v>
      </c>
      <c r="H66" s="13">
        <f>ROUND(4600,2)</f>
        <v>4600</v>
      </c>
      <c r="I66" s="13">
        <f t="shared" si="5"/>
        <v>0</v>
      </c>
      <c r="J66" s="13">
        <f>ROUND(4600,2)</f>
        <v>4600</v>
      </c>
      <c r="K66" s="13">
        <f t="shared" si="8"/>
        <v>0</v>
      </c>
    </row>
    <row r="67" spans="1:11" ht="23.25">
      <c r="A67" s="11" t="s">
        <v>716</v>
      </c>
      <c r="B67" s="12" t="s">
        <v>177</v>
      </c>
      <c r="C67" s="12" t="s">
        <v>568</v>
      </c>
      <c r="D67" s="13">
        <f>ROUND(1928900,2)</f>
        <v>1928900</v>
      </c>
      <c r="E67" s="13">
        <f t="shared" si="4"/>
        <v>0</v>
      </c>
      <c r="F67" s="13">
        <f aca="true" t="shared" si="9" ref="F67:F96">ROUND(0,2)</f>
        <v>0</v>
      </c>
      <c r="G67" s="13">
        <f>ROUND(1928900,2)</f>
        <v>1928900</v>
      </c>
      <c r="H67" s="13">
        <f>ROUND(320957.99,2)</f>
        <v>320957.99</v>
      </c>
      <c r="I67" s="13">
        <f t="shared" si="5"/>
        <v>0</v>
      </c>
      <c r="J67" s="13">
        <f aca="true" t="shared" si="10" ref="J67:J96">ROUND(0,2)</f>
        <v>0</v>
      </c>
      <c r="K67" s="13">
        <f>ROUND(320957.99,2)</f>
        <v>320957.99</v>
      </c>
    </row>
    <row r="68" spans="1:11" ht="23.25">
      <c r="A68" s="11" t="s">
        <v>38</v>
      </c>
      <c r="B68" s="12" t="s">
        <v>272</v>
      </c>
      <c r="C68" s="12" t="s">
        <v>99</v>
      </c>
      <c r="D68" s="13">
        <f>ROUND(1782215,2)</f>
        <v>1782215</v>
      </c>
      <c r="E68" s="13">
        <f t="shared" si="4"/>
        <v>0</v>
      </c>
      <c r="F68" s="13">
        <f t="shared" si="9"/>
        <v>0</v>
      </c>
      <c r="G68" s="13">
        <f>ROUND(1782215,2)</f>
        <v>1782215</v>
      </c>
      <c r="H68" s="13">
        <f>ROUND(310934.02,2)</f>
        <v>310934.02</v>
      </c>
      <c r="I68" s="13">
        <f t="shared" si="5"/>
        <v>0</v>
      </c>
      <c r="J68" s="13">
        <f t="shared" si="10"/>
        <v>0</v>
      </c>
      <c r="K68" s="13">
        <f>ROUND(310934.02,2)</f>
        <v>310934.02</v>
      </c>
    </row>
    <row r="69" spans="1:11" ht="45.75">
      <c r="A69" s="11" t="s">
        <v>636</v>
      </c>
      <c r="B69" s="12" t="s">
        <v>14</v>
      </c>
      <c r="C69" s="12" t="s">
        <v>801</v>
      </c>
      <c r="D69" s="13">
        <f>ROUND(1654592,2)</f>
        <v>1654592</v>
      </c>
      <c r="E69" s="13">
        <f t="shared" si="4"/>
        <v>0</v>
      </c>
      <c r="F69" s="13">
        <f t="shared" si="9"/>
        <v>0</v>
      </c>
      <c r="G69" s="13">
        <f>ROUND(1654592,2)</f>
        <v>1654592</v>
      </c>
      <c r="H69" s="13">
        <f>ROUND(304084.9,2)</f>
        <v>304084.9</v>
      </c>
      <c r="I69" s="13">
        <f t="shared" si="5"/>
        <v>0</v>
      </c>
      <c r="J69" s="13">
        <f t="shared" si="10"/>
        <v>0</v>
      </c>
      <c r="K69" s="13">
        <f>ROUND(304084.9,2)</f>
        <v>304084.9</v>
      </c>
    </row>
    <row r="70" spans="1:11" ht="23.25">
      <c r="A70" s="11" t="s">
        <v>261</v>
      </c>
      <c r="B70" s="12" t="s">
        <v>613</v>
      </c>
      <c r="C70" s="12" t="s">
        <v>189</v>
      </c>
      <c r="D70" s="13">
        <f>ROUND(1263890,2)</f>
        <v>1263890</v>
      </c>
      <c r="E70" s="13">
        <f aca="true" t="shared" si="11" ref="E70:E101">ROUND(0,2)</f>
        <v>0</v>
      </c>
      <c r="F70" s="13">
        <f t="shared" si="9"/>
        <v>0</v>
      </c>
      <c r="G70" s="13">
        <f>ROUND(1263890,2)</f>
        <v>1263890</v>
      </c>
      <c r="H70" s="13">
        <f>ROUND(246181.17,2)</f>
        <v>246181.17</v>
      </c>
      <c r="I70" s="13">
        <f aca="true" t="shared" si="12" ref="I70:I101">ROUND(0,2)</f>
        <v>0</v>
      </c>
      <c r="J70" s="13">
        <f t="shared" si="10"/>
        <v>0</v>
      </c>
      <c r="K70" s="13">
        <f>ROUND(246181.17,2)</f>
        <v>246181.17</v>
      </c>
    </row>
    <row r="71" spans="1:11" ht="34.5">
      <c r="A71" s="11" t="s">
        <v>73</v>
      </c>
      <c r="B71" s="12" t="s">
        <v>755</v>
      </c>
      <c r="C71" s="12" t="s">
        <v>122</v>
      </c>
      <c r="D71" s="13">
        <f>ROUND(390702,2)</f>
        <v>390702</v>
      </c>
      <c r="E71" s="13">
        <f t="shared" si="11"/>
        <v>0</v>
      </c>
      <c r="F71" s="13">
        <f t="shared" si="9"/>
        <v>0</v>
      </c>
      <c r="G71" s="13">
        <f>ROUND(390702,2)</f>
        <v>390702</v>
      </c>
      <c r="H71" s="13">
        <f>ROUND(57903.73,2)</f>
        <v>57903.73</v>
      </c>
      <c r="I71" s="13">
        <f t="shared" si="12"/>
        <v>0</v>
      </c>
      <c r="J71" s="13">
        <f t="shared" si="10"/>
        <v>0</v>
      </c>
      <c r="K71" s="13">
        <f>ROUND(57903.73,2)</f>
        <v>57903.73</v>
      </c>
    </row>
    <row r="72" spans="1:11" ht="23.25">
      <c r="A72" s="11" t="s">
        <v>545</v>
      </c>
      <c r="B72" s="12" t="s">
        <v>786</v>
      </c>
      <c r="C72" s="12" t="s">
        <v>238</v>
      </c>
      <c r="D72" s="13">
        <f>ROUND(127623,2)</f>
        <v>127623</v>
      </c>
      <c r="E72" s="13">
        <f t="shared" si="11"/>
        <v>0</v>
      </c>
      <c r="F72" s="13">
        <f t="shared" si="9"/>
        <v>0</v>
      </c>
      <c r="G72" s="13">
        <f>ROUND(127623,2)</f>
        <v>127623</v>
      </c>
      <c r="H72" s="13">
        <f>ROUND(6849.12,2)</f>
        <v>6849.12</v>
      </c>
      <c r="I72" s="13">
        <f t="shared" si="12"/>
        <v>0</v>
      </c>
      <c r="J72" s="13">
        <f t="shared" si="10"/>
        <v>0</v>
      </c>
      <c r="K72" s="13">
        <f>ROUND(6849.12,2)</f>
        <v>6849.12</v>
      </c>
    </row>
    <row r="73" spans="1:11" ht="23.25">
      <c r="A73" s="11" t="s">
        <v>76</v>
      </c>
      <c r="B73" s="12" t="s">
        <v>362</v>
      </c>
      <c r="C73" s="12" t="s">
        <v>631</v>
      </c>
      <c r="D73" s="13">
        <f>ROUND(35048,2)</f>
        <v>35048</v>
      </c>
      <c r="E73" s="13">
        <f t="shared" si="11"/>
        <v>0</v>
      </c>
      <c r="F73" s="13">
        <f t="shared" si="9"/>
        <v>0</v>
      </c>
      <c r="G73" s="13">
        <f>ROUND(35048,2)</f>
        <v>35048</v>
      </c>
      <c r="H73" s="13">
        <f>ROUND(4078.6,2)</f>
        <v>4078.6</v>
      </c>
      <c r="I73" s="13">
        <f t="shared" si="12"/>
        <v>0</v>
      </c>
      <c r="J73" s="13">
        <f t="shared" si="10"/>
        <v>0</v>
      </c>
      <c r="K73" s="13">
        <f>ROUND(4078.6,2)</f>
        <v>4078.6</v>
      </c>
    </row>
    <row r="74" spans="1:11" ht="23.25">
      <c r="A74" s="11" t="s">
        <v>524</v>
      </c>
      <c r="B74" s="12" t="s">
        <v>964</v>
      </c>
      <c r="C74" s="12" t="s">
        <v>454</v>
      </c>
      <c r="D74" s="13">
        <f>ROUND(17400,2)</f>
        <v>17400</v>
      </c>
      <c r="E74" s="13">
        <f t="shared" si="11"/>
        <v>0</v>
      </c>
      <c r="F74" s="13">
        <f t="shared" si="9"/>
        <v>0</v>
      </c>
      <c r="G74" s="13">
        <f>ROUND(17400,2)</f>
        <v>17400</v>
      </c>
      <c r="H74" s="13">
        <f>ROUND(293,2)</f>
        <v>293</v>
      </c>
      <c r="I74" s="13">
        <f t="shared" si="12"/>
        <v>0</v>
      </c>
      <c r="J74" s="13">
        <f t="shared" si="10"/>
        <v>0</v>
      </c>
      <c r="K74" s="13">
        <f>ROUND(293,2)</f>
        <v>293</v>
      </c>
    </row>
    <row r="75" spans="1:11" ht="23.25">
      <c r="A75" s="11" t="s">
        <v>218</v>
      </c>
      <c r="B75" s="12" t="s">
        <v>491</v>
      </c>
      <c r="C75" s="12" t="s">
        <v>866</v>
      </c>
      <c r="D75" s="13">
        <f>ROUND(53575,2)</f>
        <v>53575</v>
      </c>
      <c r="E75" s="13">
        <f t="shared" si="11"/>
        <v>0</v>
      </c>
      <c r="F75" s="13">
        <f t="shared" si="9"/>
        <v>0</v>
      </c>
      <c r="G75" s="13">
        <f>ROUND(53575,2)</f>
        <v>53575</v>
      </c>
      <c r="H75" s="13">
        <f>ROUND(2027.52,2)</f>
        <v>2027.52</v>
      </c>
      <c r="I75" s="13">
        <f t="shared" si="12"/>
        <v>0</v>
      </c>
      <c r="J75" s="13">
        <f t="shared" si="10"/>
        <v>0</v>
      </c>
      <c r="K75" s="13">
        <f>ROUND(2027.52,2)</f>
        <v>2027.52</v>
      </c>
    </row>
    <row r="76" spans="1:11" ht="34.5">
      <c r="A76" s="11" t="s">
        <v>654</v>
      </c>
      <c r="B76" s="12" t="s">
        <v>885</v>
      </c>
      <c r="C76" s="12" t="s">
        <v>548</v>
      </c>
      <c r="D76" s="13">
        <f>ROUND(14400,2)</f>
        <v>14400</v>
      </c>
      <c r="E76" s="13">
        <f t="shared" si="11"/>
        <v>0</v>
      </c>
      <c r="F76" s="13">
        <f t="shared" si="9"/>
        <v>0</v>
      </c>
      <c r="G76" s="13">
        <f>ROUND(14400,2)</f>
        <v>14400</v>
      </c>
      <c r="H76" s="13">
        <f>ROUND(0,2)</f>
        <v>0</v>
      </c>
      <c r="I76" s="13">
        <f t="shared" si="12"/>
        <v>0</v>
      </c>
      <c r="J76" s="13">
        <f t="shared" si="10"/>
        <v>0</v>
      </c>
      <c r="K76" s="13">
        <f>ROUND(0,2)</f>
        <v>0</v>
      </c>
    </row>
    <row r="77" spans="1:11" ht="34.5">
      <c r="A77" s="11" t="s">
        <v>111</v>
      </c>
      <c r="B77" s="12" t="s">
        <v>326</v>
      </c>
      <c r="C77" s="12" t="s">
        <v>695</v>
      </c>
      <c r="D77" s="13">
        <f>ROUND(6000,2)</f>
        <v>6000</v>
      </c>
      <c r="E77" s="13">
        <f t="shared" si="11"/>
        <v>0</v>
      </c>
      <c r="F77" s="13">
        <f t="shared" si="9"/>
        <v>0</v>
      </c>
      <c r="G77" s="13">
        <f>ROUND(6000,2)</f>
        <v>6000</v>
      </c>
      <c r="H77" s="13">
        <f>ROUND(450,2)</f>
        <v>450</v>
      </c>
      <c r="I77" s="13">
        <f t="shared" si="12"/>
        <v>0</v>
      </c>
      <c r="J77" s="13">
        <f t="shared" si="10"/>
        <v>0</v>
      </c>
      <c r="K77" s="13">
        <f>ROUND(450,2)</f>
        <v>450</v>
      </c>
    </row>
    <row r="78" spans="1:11" ht="23.25">
      <c r="A78" s="11" t="s">
        <v>575</v>
      </c>
      <c r="B78" s="12" t="s">
        <v>996</v>
      </c>
      <c r="C78" s="12" t="s">
        <v>736</v>
      </c>
      <c r="D78" s="13">
        <f>ROUND(1200,2)</f>
        <v>1200</v>
      </c>
      <c r="E78" s="13">
        <f t="shared" si="11"/>
        <v>0</v>
      </c>
      <c r="F78" s="13">
        <f t="shared" si="9"/>
        <v>0</v>
      </c>
      <c r="G78" s="13">
        <f>ROUND(1200,2)</f>
        <v>1200</v>
      </c>
      <c r="H78" s="13">
        <f>ROUND(0,2)</f>
        <v>0</v>
      </c>
      <c r="I78" s="13">
        <f t="shared" si="12"/>
        <v>0</v>
      </c>
      <c r="J78" s="13">
        <f t="shared" si="10"/>
        <v>0</v>
      </c>
      <c r="K78" s="13">
        <f>ROUND(0,2)</f>
        <v>0</v>
      </c>
    </row>
    <row r="79" spans="1:11" ht="34.5">
      <c r="A79" s="11" t="s">
        <v>341</v>
      </c>
      <c r="B79" s="12" t="s">
        <v>475</v>
      </c>
      <c r="C79" s="12" t="s">
        <v>795</v>
      </c>
      <c r="D79" s="13">
        <f>ROUND(146685,2)</f>
        <v>146685</v>
      </c>
      <c r="E79" s="13">
        <f t="shared" si="11"/>
        <v>0</v>
      </c>
      <c r="F79" s="13">
        <f t="shared" si="9"/>
        <v>0</v>
      </c>
      <c r="G79" s="13">
        <f>ROUND(146685,2)</f>
        <v>146685</v>
      </c>
      <c r="H79" s="13">
        <f>ROUND(10023.97,2)</f>
        <v>10023.97</v>
      </c>
      <c r="I79" s="13">
        <f t="shared" si="12"/>
        <v>0</v>
      </c>
      <c r="J79" s="13">
        <f t="shared" si="10"/>
        <v>0</v>
      </c>
      <c r="K79" s="13">
        <f>ROUND(10023.97,2)</f>
        <v>10023.97</v>
      </c>
    </row>
    <row r="80" spans="1:11" ht="34.5">
      <c r="A80" s="11" t="s">
        <v>733</v>
      </c>
      <c r="B80" s="12" t="s">
        <v>200</v>
      </c>
      <c r="C80" s="12" t="s">
        <v>953</v>
      </c>
      <c r="D80" s="13">
        <f>ROUND(8890,2)</f>
        <v>8890</v>
      </c>
      <c r="E80" s="13">
        <f t="shared" si="11"/>
        <v>0</v>
      </c>
      <c r="F80" s="13">
        <f t="shared" si="9"/>
        <v>0</v>
      </c>
      <c r="G80" s="13">
        <f>ROUND(8890,2)</f>
        <v>8890</v>
      </c>
      <c r="H80" s="13">
        <f>ROUND(185.87,2)</f>
        <v>185.87</v>
      </c>
      <c r="I80" s="13">
        <f t="shared" si="12"/>
        <v>0</v>
      </c>
      <c r="J80" s="13">
        <f t="shared" si="10"/>
        <v>0</v>
      </c>
      <c r="K80" s="13">
        <f>ROUND(185.87,2)</f>
        <v>185.87</v>
      </c>
    </row>
    <row r="81" spans="1:11" ht="45.75">
      <c r="A81" s="11" t="s">
        <v>51</v>
      </c>
      <c r="B81" s="12" t="s">
        <v>455</v>
      </c>
      <c r="C81" s="12" t="s">
        <v>745</v>
      </c>
      <c r="D81" s="13">
        <f>ROUND(137795,2)</f>
        <v>137795</v>
      </c>
      <c r="E81" s="13">
        <f t="shared" si="11"/>
        <v>0</v>
      </c>
      <c r="F81" s="13">
        <f t="shared" si="9"/>
        <v>0</v>
      </c>
      <c r="G81" s="13">
        <f>ROUND(137795,2)</f>
        <v>137795</v>
      </c>
      <c r="H81" s="13">
        <f>ROUND(9838.1,2)</f>
        <v>9838.1</v>
      </c>
      <c r="I81" s="13">
        <f t="shared" si="12"/>
        <v>0</v>
      </c>
      <c r="J81" s="13">
        <f t="shared" si="10"/>
        <v>0</v>
      </c>
      <c r="K81" s="13">
        <f>ROUND(9838.1,2)</f>
        <v>9838.1</v>
      </c>
    </row>
    <row r="82" spans="1:11" ht="34.5">
      <c r="A82" s="11" t="s">
        <v>1038</v>
      </c>
      <c r="B82" s="12" t="s">
        <v>940</v>
      </c>
      <c r="C82" s="12" t="s">
        <v>424</v>
      </c>
      <c r="D82" s="13">
        <f>ROUND(1928900,2)</f>
        <v>1928900</v>
      </c>
      <c r="E82" s="13">
        <f t="shared" si="11"/>
        <v>0</v>
      </c>
      <c r="F82" s="13">
        <f t="shared" si="9"/>
        <v>0</v>
      </c>
      <c r="G82" s="13">
        <f>ROUND(1928900,2)</f>
        <v>1928900</v>
      </c>
      <c r="H82" s="13">
        <f>ROUND(320957.99,2)</f>
        <v>320957.99</v>
      </c>
      <c r="I82" s="13">
        <f t="shared" si="12"/>
        <v>0</v>
      </c>
      <c r="J82" s="13">
        <f t="shared" si="10"/>
        <v>0</v>
      </c>
      <c r="K82" s="13">
        <f>ROUND(320957.99,2)</f>
        <v>320957.99</v>
      </c>
    </row>
    <row r="83" spans="1:11" ht="23.25">
      <c r="A83" s="11" t="s">
        <v>427</v>
      </c>
      <c r="B83" s="12" t="s">
        <v>560</v>
      </c>
      <c r="C83" s="12" t="s">
        <v>99</v>
      </c>
      <c r="D83" s="13">
        <f>ROUND(1782215,2)</f>
        <v>1782215</v>
      </c>
      <c r="E83" s="13">
        <f t="shared" si="11"/>
        <v>0</v>
      </c>
      <c r="F83" s="13">
        <f t="shared" si="9"/>
        <v>0</v>
      </c>
      <c r="G83" s="13">
        <f>ROUND(1782215,2)</f>
        <v>1782215</v>
      </c>
      <c r="H83" s="13">
        <f>ROUND(310934.02,2)</f>
        <v>310934.02</v>
      </c>
      <c r="I83" s="13">
        <f t="shared" si="12"/>
        <v>0</v>
      </c>
      <c r="J83" s="13">
        <f t="shared" si="10"/>
        <v>0</v>
      </c>
      <c r="K83" s="13">
        <f>ROUND(310934.02,2)</f>
        <v>310934.02</v>
      </c>
    </row>
    <row r="84" spans="1:11" ht="45.75">
      <c r="A84" s="11" t="s">
        <v>1015</v>
      </c>
      <c r="B84" s="12" t="s">
        <v>838</v>
      </c>
      <c r="C84" s="12" t="s">
        <v>801</v>
      </c>
      <c r="D84" s="13">
        <f>ROUND(1654592,2)</f>
        <v>1654592</v>
      </c>
      <c r="E84" s="13">
        <f t="shared" si="11"/>
        <v>0</v>
      </c>
      <c r="F84" s="13">
        <f t="shared" si="9"/>
        <v>0</v>
      </c>
      <c r="G84" s="13">
        <f>ROUND(1654592,2)</f>
        <v>1654592</v>
      </c>
      <c r="H84" s="13">
        <f>ROUND(304084.9,2)</f>
        <v>304084.9</v>
      </c>
      <c r="I84" s="13">
        <f t="shared" si="12"/>
        <v>0</v>
      </c>
      <c r="J84" s="13">
        <f t="shared" si="10"/>
        <v>0</v>
      </c>
      <c r="K84" s="13">
        <f>ROUND(304084.9,2)</f>
        <v>304084.9</v>
      </c>
    </row>
    <row r="85" spans="1:11" ht="23.25">
      <c r="A85" s="11" t="s">
        <v>450</v>
      </c>
      <c r="B85" s="12" t="s">
        <v>391</v>
      </c>
      <c r="C85" s="12" t="s">
        <v>189</v>
      </c>
      <c r="D85" s="13">
        <f>ROUND(1263890,2)</f>
        <v>1263890</v>
      </c>
      <c r="E85" s="13">
        <f t="shared" si="11"/>
        <v>0</v>
      </c>
      <c r="F85" s="13">
        <f t="shared" si="9"/>
        <v>0</v>
      </c>
      <c r="G85" s="13">
        <f>ROUND(1263890,2)</f>
        <v>1263890</v>
      </c>
      <c r="H85" s="13">
        <f>ROUND(246181.17,2)</f>
        <v>246181.17</v>
      </c>
      <c r="I85" s="13">
        <f t="shared" si="12"/>
        <v>0</v>
      </c>
      <c r="J85" s="13">
        <f t="shared" si="10"/>
        <v>0</v>
      </c>
      <c r="K85" s="13">
        <f>ROUND(246181.17,2)</f>
        <v>246181.17</v>
      </c>
    </row>
    <row r="86" spans="1:11" ht="34.5">
      <c r="A86" s="11" t="s">
        <v>121</v>
      </c>
      <c r="B86" s="12" t="s">
        <v>464</v>
      </c>
      <c r="C86" s="12" t="s">
        <v>122</v>
      </c>
      <c r="D86" s="13">
        <f>ROUND(390702,2)</f>
        <v>390702</v>
      </c>
      <c r="E86" s="13">
        <f t="shared" si="11"/>
        <v>0</v>
      </c>
      <c r="F86" s="13">
        <f t="shared" si="9"/>
        <v>0</v>
      </c>
      <c r="G86" s="13">
        <f>ROUND(390702,2)</f>
        <v>390702</v>
      </c>
      <c r="H86" s="13">
        <f>ROUND(57903.73,2)</f>
        <v>57903.73</v>
      </c>
      <c r="I86" s="13">
        <f t="shared" si="12"/>
        <v>0</v>
      </c>
      <c r="J86" s="13">
        <f t="shared" si="10"/>
        <v>0</v>
      </c>
      <c r="K86" s="13">
        <f>ROUND(57903.73,2)</f>
        <v>57903.73</v>
      </c>
    </row>
    <row r="87" spans="1:11" ht="23.25">
      <c r="A87" s="11" t="s">
        <v>674</v>
      </c>
      <c r="B87" s="12" t="s">
        <v>37</v>
      </c>
      <c r="C87" s="12" t="s">
        <v>238</v>
      </c>
      <c r="D87" s="13">
        <f>ROUND(127623,2)</f>
        <v>127623</v>
      </c>
      <c r="E87" s="13">
        <f t="shared" si="11"/>
        <v>0</v>
      </c>
      <c r="F87" s="13">
        <f t="shared" si="9"/>
        <v>0</v>
      </c>
      <c r="G87" s="13">
        <f>ROUND(127623,2)</f>
        <v>127623</v>
      </c>
      <c r="H87" s="13">
        <f>ROUND(6849.12,2)</f>
        <v>6849.12</v>
      </c>
      <c r="I87" s="13">
        <f t="shared" si="12"/>
        <v>0</v>
      </c>
      <c r="J87" s="13">
        <f t="shared" si="10"/>
        <v>0</v>
      </c>
      <c r="K87" s="13">
        <f>ROUND(6849.12,2)</f>
        <v>6849.12</v>
      </c>
    </row>
    <row r="88" spans="1:11" ht="23.25">
      <c r="A88" s="11" t="s">
        <v>192</v>
      </c>
      <c r="B88" s="12" t="s">
        <v>635</v>
      </c>
      <c r="C88" s="12" t="s">
        <v>631</v>
      </c>
      <c r="D88" s="13">
        <f>ROUND(35048,2)</f>
        <v>35048</v>
      </c>
      <c r="E88" s="13">
        <f t="shared" si="11"/>
        <v>0</v>
      </c>
      <c r="F88" s="13">
        <f t="shared" si="9"/>
        <v>0</v>
      </c>
      <c r="G88" s="13">
        <f>ROUND(35048,2)</f>
        <v>35048</v>
      </c>
      <c r="H88" s="13">
        <f>ROUND(4078.6,2)</f>
        <v>4078.6</v>
      </c>
      <c r="I88" s="13">
        <f t="shared" si="12"/>
        <v>0</v>
      </c>
      <c r="J88" s="13">
        <f t="shared" si="10"/>
        <v>0</v>
      </c>
      <c r="K88" s="13">
        <f>ROUND(4078.6,2)</f>
        <v>4078.6</v>
      </c>
    </row>
    <row r="89" spans="1:11" ht="23.25">
      <c r="A89" s="11" t="s">
        <v>603</v>
      </c>
      <c r="B89" s="12" t="s">
        <v>147</v>
      </c>
      <c r="C89" s="12" t="s">
        <v>454</v>
      </c>
      <c r="D89" s="13">
        <f>ROUND(17400,2)</f>
        <v>17400</v>
      </c>
      <c r="E89" s="13">
        <f t="shared" si="11"/>
        <v>0</v>
      </c>
      <c r="F89" s="13">
        <f t="shared" si="9"/>
        <v>0</v>
      </c>
      <c r="G89" s="13">
        <f>ROUND(17400,2)</f>
        <v>17400</v>
      </c>
      <c r="H89" s="13">
        <f>ROUND(293,2)</f>
        <v>293</v>
      </c>
      <c r="I89" s="13">
        <f t="shared" si="12"/>
        <v>0</v>
      </c>
      <c r="J89" s="13">
        <f t="shared" si="10"/>
        <v>0</v>
      </c>
      <c r="K89" s="13">
        <f>ROUND(293,2)</f>
        <v>293</v>
      </c>
    </row>
    <row r="90" spans="1:11" ht="23.25">
      <c r="A90" s="11" t="s">
        <v>19</v>
      </c>
      <c r="B90" s="12" t="s">
        <v>715</v>
      </c>
      <c r="C90" s="12" t="s">
        <v>866</v>
      </c>
      <c r="D90" s="13">
        <f>ROUND(53575,2)</f>
        <v>53575</v>
      </c>
      <c r="E90" s="13">
        <f t="shared" si="11"/>
        <v>0</v>
      </c>
      <c r="F90" s="13">
        <f t="shared" si="9"/>
        <v>0</v>
      </c>
      <c r="G90" s="13">
        <f>ROUND(53575,2)</f>
        <v>53575</v>
      </c>
      <c r="H90" s="13">
        <f>ROUND(2027.52,2)</f>
        <v>2027.52</v>
      </c>
      <c r="I90" s="13">
        <f t="shared" si="12"/>
        <v>0</v>
      </c>
      <c r="J90" s="13">
        <f t="shared" si="10"/>
        <v>0</v>
      </c>
      <c r="K90" s="13">
        <f>ROUND(2027.52,2)</f>
        <v>2027.52</v>
      </c>
    </row>
    <row r="91" spans="1:11" ht="34.5">
      <c r="A91" s="11" t="s">
        <v>777</v>
      </c>
      <c r="B91" s="12" t="s">
        <v>70</v>
      </c>
      <c r="C91" s="12" t="s">
        <v>548</v>
      </c>
      <c r="D91" s="13">
        <f>ROUND(14400,2)</f>
        <v>14400</v>
      </c>
      <c r="E91" s="13">
        <f t="shared" si="11"/>
        <v>0</v>
      </c>
      <c r="F91" s="13">
        <f t="shared" si="9"/>
        <v>0</v>
      </c>
      <c r="G91" s="13">
        <f>ROUND(14400,2)</f>
        <v>14400</v>
      </c>
      <c r="H91" s="13">
        <f>ROUND(0,2)</f>
        <v>0</v>
      </c>
      <c r="I91" s="13">
        <f t="shared" si="12"/>
        <v>0</v>
      </c>
      <c r="J91" s="13">
        <f t="shared" si="10"/>
        <v>0</v>
      </c>
      <c r="K91" s="13">
        <f>ROUND(0,2)</f>
        <v>0</v>
      </c>
    </row>
    <row r="92" spans="1:11" ht="34.5">
      <c r="A92" s="11" t="s">
        <v>154</v>
      </c>
      <c r="B92" s="12" t="s">
        <v>543</v>
      </c>
      <c r="C92" s="12" t="s">
        <v>695</v>
      </c>
      <c r="D92" s="13">
        <f>ROUND(6000,2)</f>
        <v>6000</v>
      </c>
      <c r="E92" s="13">
        <f t="shared" si="11"/>
        <v>0</v>
      </c>
      <c r="F92" s="13">
        <f t="shared" si="9"/>
        <v>0</v>
      </c>
      <c r="G92" s="13">
        <f>ROUND(6000,2)</f>
        <v>6000</v>
      </c>
      <c r="H92" s="13">
        <f>ROUND(450,2)</f>
        <v>450</v>
      </c>
      <c r="I92" s="13">
        <f t="shared" si="12"/>
        <v>0</v>
      </c>
      <c r="J92" s="13">
        <f t="shared" si="10"/>
        <v>0</v>
      </c>
      <c r="K92" s="13">
        <f>ROUND(450,2)</f>
        <v>450</v>
      </c>
    </row>
    <row r="93" spans="1:11" ht="23.25">
      <c r="A93" s="11" t="s">
        <v>756</v>
      </c>
      <c r="B93" s="12" t="s">
        <v>258</v>
      </c>
      <c r="C93" s="12" t="s">
        <v>736</v>
      </c>
      <c r="D93" s="13">
        <f>ROUND(1200,2)</f>
        <v>1200</v>
      </c>
      <c r="E93" s="13">
        <f t="shared" si="11"/>
        <v>0</v>
      </c>
      <c r="F93" s="13">
        <f t="shared" si="9"/>
        <v>0</v>
      </c>
      <c r="G93" s="13">
        <f>ROUND(1200,2)</f>
        <v>1200</v>
      </c>
      <c r="H93" s="13">
        <f>ROUND(0,2)</f>
        <v>0</v>
      </c>
      <c r="I93" s="13">
        <f t="shared" si="12"/>
        <v>0</v>
      </c>
      <c r="J93" s="13">
        <f t="shared" si="10"/>
        <v>0</v>
      </c>
      <c r="K93" s="13">
        <f>ROUND(0,2)</f>
        <v>0</v>
      </c>
    </row>
    <row r="94" spans="1:11" ht="34.5">
      <c r="A94" s="11" t="s">
        <v>57</v>
      </c>
      <c r="B94" s="12" t="s">
        <v>781</v>
      </c>
      <c r="C94" s="12" t="s">
        <v>795</v>
      </c>
      <c r="D94" s="13">
        <f>ROUND(146685,2)</f>
        <v>146685</v>
      </c>
      <c r="E94" s="13">
        <f t="shared" si="11"/>
        <v>0</v>
      </c>
      <c r="F94" s="13">
        <f t="shared" si="9"/>
        <v>0</v>
      </c>
      <c r="G94" s="13">
        <f>ROUND(146685,2)</f>
        <v>146685</v>
      </c>
      <c r="H94" s="13">
        <f>ROUND(10023.97,2)</f>
        <v>10023.97</v>
      </c>
      <c r="I94" s="13">
        <f t="shared" si="12"/>
        <v>0</v>
      </c>
      <c r="J94" s="13">
        <f t="shared" si="10"/>
        <v>0</v>
      </c>
      <c r="K94" s="13">
        <f>ROUND(10023.97,2)</f>
        <v>10023.97</v>
      </c>
    </row>
    <row r="95" spans="1:11" ht="34.5">
      <c r="A95" s="11" t="s">
        <v>552</v>
      </c>
      <c r="B95" s="12" t="s">
        <v>1032</v>
      </c>
      <c r="C95" s="12" t="s">
        <v>953</v>
      </c>
      <c r="D95" s="13">
        <f>ROUND(8890,2)</f>
        <v>8890</v>
      </c>
      <c r="E95" s="13">
        <f t="shared" si="11"/>
        <v>0</v>
      </c>
      <c r="F95" s="13">
        <f t="shared" si="9"/>
        <v>0</v>
      </c>
      <c r="G95" s="13">
        <f>ROUND(8890,2)</f>
        <v>8890</v>
      </c>
      <c r="H95" s="13">
        <f>ROUND(185.87,2)</f>
        <v>185.87</v>
      </c>
      <c r="I95" s="13">
        <f t="shared" si="12"/>
        <v>0</v>
      </c>
      <c r="J95" s="13">
        <f t="shared" si="10"/>
        <v>0</v>
      </c>
      <c r="K95" s="13">
        <f>ROUND(185.87,2)</f>
        <v>185.87</v>
      </c>
    </row>
    <row r="96" spans="1:11" ht="45.75">
      <c r="A96" s="11" t="s">
        <v>235</v>
      </c>
      <c r="B96" s="12" t="s">
        <v>763</v>
      </c>
      <c r="C96" s="12" t="s">
        <v>745</v>
      </c>
      <c r="D96" s="13">
        <f>ROUND(137795,2)</f>
        <v>137795</v>
      </c>
      <c r="E96" s="13">
        <f t="shared" si="11"/>
        <v>0</v>
      </c>
      <c r="F96" s="13">
        <f t="shared" si="9"/>
        <v>0</v>
      </c>
      <c r="G96" s="13">
        <f>ROUND(137795,2)</f>
        <v>137795</v>
      </c>
      <c r="H96" s="13">
        <f>ROUND(9838.1,2)</f>
        <v>9838.1</v>
      </c>
      <c r="I96" s="13">
        <f t="shared" si="12"/>
        <v>0</v>
      </c>
      <c r="J96" s="13">
        <f t="shared" si="10"/>
        <v>0</v>
      </c>
      <c r="K96" s="13">
        <f>ROUND(9838.1,2)</f>
        <v>9838.1</v>
      </c>
    </row>
    <row r="97" spans="1:11" ht="45.75">
      <c r="A97" s="11" t="s">
        <v>213</v>
      </c>
      <c r="B97" s="12" t="s">
        <v>963</v>
      </c>
      <c r="C97" s="12" t="s">
        <v>86</v>
      </c>
      <c r="D97" s="13">
        <f>ROUND(4908900,2)</f>
        <v>4908900</v>
      </c>
      <c r="E97" s="13">
        <f t="shared" si="11"/>
        <v>0</v>
      </c>
      <c r="F97" s="13">
        <f>ROUND(2896000,2)</f>
        <v>2896000</v>
      </c>
      <c r="G97" s="13">
        <f>ROUND(2012900,2)</f>
        <v>2012900</v>
      </c>
      <c r="H97" s="13">
        <f>ROUND(653905.3,2)</f>
        <v>653905.3</v>
      </c>
      <c r="I97" s="13">
        <f t="shared" si="12"/>
        <v>0</v>
      </c>
      <c r="J97" s="13">
        <f>ROUND(226760.14,2)</f>
        <v>226760.14</v>
      </c>
      <c r="K97" s="13">
        <f>ROUND(427145.16,2)</f>
        <v>427145.16</v>
      </c>
    </row>
    <row r="98" spans="1:11" ht="23.25">
      <c r="A98" s="11" t="s">
        <v>591</v>
      </c>
      <c r="B98" s="12" t="s">
        <v>522</v>
      </c>
      <c r="C98" s="12" t="s">
        <v>99</v>
      </c>
      <c r="D98" s="13">
        <f>ROUND(4491900,2)</f>
        <v>4491900</v>
      </c>
      <c r="E98" s="13">
        <f t="shared" si="11"/>
        <v>0</v>
      </c>
      <c r="F98" s="13">
        <f>ROUND(2893000,2)</f>
        <v>2893000</v>
      </c>
      <c r="G98" s="13">
        <f>ROUND(1598900,2)</f>
        <v>1598900</v>
      </c>
      <c r="H98" s="13">
        <f>ROUND(557024.8,2)</f>
        <v>557024.8</v>
      </c>
      <c r="I98" s="13">
        <f t="shared" si="12"/>
        <v>0</v>
      </c>
      <c r="J98" s="13">
        <f>ROUND(226760.14,2)</f>
        <v>226760.14</v>
      </c>
      <c r="K98" s="13">
        <f>ROUND(330264.66,2)</f>
        <v>330264.66</v>
      </c>
    </row>
    <row r="99" spans="1:11" ht="45.75">
      <c r="A99" s="11" t="s">
        <v>105</v>
      </c>
      <c r="B99" s="12" t="s">
        <v>804</v>
      </c>
      <c r="C99" s="12" t="s">
        <v>801</v>
      </c>
      <c r="D99" s="13">
        <f>ROUND(4163300,2)</f>
        <v>4163300</v>
      </c>
      <c r="E99" s="13">
        <f t="shared" si="11"/>
        <v>0</v>
      </c>
      <c r="F99" s="13">
        <f>ROUND(2867000,2)</f>
        <v>2867000</v>
      </c>
      <c r="G99" s="13">
        <f>ROUND(1296300,2)</f>
        <v>1296300</v>
      </c>
      <c r="H99" s="13">
        <f>ROUND(509097.47,2)</f>
        <v>509097.47</v>
      </c>
      <c r="I99" s="13">
        <f t="shared" si="12"/>
        <v>0</v>
      </c>
      <c r="J99" s="13">
        <f>ROUND(206760.14,2)</f>
        <v>206760.14</v>
      </c>
      <c r="K99" s="13">
        <f>ROUND(302337.33,2)</f>
        <v>302337.33</v>
      </c>
    </row>
    <row r="100" spans="1:11" ht="23.25">
      <c r="A100" s="11" t="s">
        <v>760</v>
      </c>
      <c r="B100" s="12" t="s">
        <v>360</v>
      </c>
      <c r="C100" s="12" t="s">
        <v>189</v>
      </c>
      <c r="D100" s="13">
        <f>ROUND(3194000,2)</f>
        <v>3194000</v>
      </c>
      <c r="E100" s="13">
        <f t="shared" si="11"/>
        <v>0</v>
      </c>
      <c r="F100" s="13">
        <f>ROUND(2200000,2)</f>
        <v>2200000</v>
      </c>
      <c r="G100" s="13">
        <f>ROUND(994000,2)</f>
        <v>994000</v>
      </c>
      <c r="H100" s="13">
        <f>ROUND(418026.65,2)</f>
        <v>418026.65</v>
      </c>
      <c r="I100" s="13">
        <f t="shared" si="12"/>
        <v>0</v>
      </c>
      <c r="J100" s="13">
        <f>ROUND(176531.14,2)</f>
        <v>176531.14</v>
      </c>
      <c r="K100" s="13">
        <f>ROUND(241495.51,2)</f>
        <v>241495.51</v>
      </c>
    </row>
    <row r="101" spans="1:11" ht="34.5">
      <c r="A101" s="11" t="s">
        <v>618</v>
      </c>
      <c r="B101" s="12" t="s">
        <v>489</v>
      </c>
      <c r="C101" s="12" t="s">
        <v>122</v>
      </c>
      <c r="D101" s="13">
        <f>ROUND(969300,2)</f>
        <v>969300</v>
      </c>
      <c r="E101" s="13">
        <f t="shared" si="11"/>
        <v>0</v>
      </c>
      <c r="F101" s="13">
        <f>ROUND(667000,2)</f>
        <v>667000</v>
      </c>
      <c r="G101" s="13">
        <f>ROUND(302300,2)</f>
        <v>302300</v>
      </c>
      <c r="H101" s="13">
        <f>ROUND(91070.82,2)</f>
        <v>91070.82</v>
      </c>
      <c r="I101" s="13">
        <f t="shared" si="12"/>
        <v>0</v>
      </c>
      <c r="J101" s="13">
        <f>ROUND(30229,2)</f>
        <v>30229</v>
      </c>
      <c r="K101" s="13">
        <f>ROUND(60841.82,2)</f>
        <v>60841.82</v>
      </c>
    </row>
    <row r="102" spans="1:11" ht="23.25">
      <c r="A102" s="11" t="s">
        <v>4</v>
      </c>
      <c r="B102" s="12" t="s">
        <v>2</v>
      </c>
      <c r="C102" s="12" t="s">
        <v>238</v>
      </c>
      <c r="D102" s="13">
        <f>ROUND(328600,2)</f>
        <v>328600</v>
      </c>
      <c r="E102" s="13">
        <f aca="true" t="shared" si="13" ref="E102:E135">ROUND(0,2)</f>
        <v>0</v>
      </c>
      <c r="F102" s="13">
        <f>ROUND(26000,2)</f>
        <v>26000</v>
      </c>
      <c r="G102" s="13">
        <f>ROUND(302600,2)</f>
        <v>302600</v>
      </c>
      <c r="H102" s="13">
        <f>ROUND(47927.33,2)</f>
        <v>47927.33</v>
      </c>
      <c r="I102" s="13">
        <f aca="true" t="shared" si="14" ref="I102:I135">ROUND(0,2)</f>
        <v>0</v>
      </c>
      <c r="J102" s="13">
        <f>ROUND(20000,2)</f>
        <v>20000</v>
      </c>
      <c r="K102" s="13">
        <f>ROUND(27927.33,2)</f>
        <v>27927.33</v>
      </c>
    </row>
    <row r="103" spans="1:11" ht="23.25">
      <c r="A103" s="11" t="s">
        <v>600</v>
      </c>
      <c r="B103" s="12" t="s">
        <v>617</v>
      </c>
      <c r="C103" s="12" t="s">
        <v>631</v>
      </c>
      <c r="D103" s="13">
        <f>ROUND(6000,2)</f>
        <v>6000</v>
      </c>
      <c r="E103" s="13">
        <f t="shared" si="13"/>
        <v>0</v>
      </c>
      <c r="F103" s="13">
        <f>ROUND(0,2)</f>
        <v>0</v>
      </c>
      <c r="G103" s="13">
        <f>ROUND(6000,2)</f>
        <v>6000</v>
      </c>
      <c r="H103" s="13">
        <f>ROUND(843.41,2)</f>
        <v>843.41</v>
      </c>
      <c r="I103" s="13">
        <f t="shared" si="14"/>
        <v>0</v>
      </c>
      <c r="J103" s="13">
        <f>ROUND(0,2)</f>
        <v>0</v>
      </c>
      <c r="K103" s="13">
        <f>ROUND(843.41,2)</f>
        <v>843.41</v>
      </c>
    </row>
    <row r="104" spans="1:11" ht="34.5">
      <c r="A104" s="11" t="s">
        <v>662</v>
      </c>
      <c r="B104" s="12" t="s">
        <v>589</v>
      </c>
      <c r="C104" s="12" t="s">
        <v>695</v>
      </c>
      <c r="D104" s="13">
        <f>ROUND(272300,2)</f>
        <v>272300</v>
      </c>
      <c r="E104" s="13">
        <f t="shared" si="13"/>
        <v>0</v>
      </c>
      <c r="F104" s="13">
        <f>ROUND(0,2)</f>
        <v>0</v>
      </c>
      <c r="G104" s="13">
        <f>ROUND(272300,2)</f>
        <v>272300</v>
      </c>
      <c r="H104" s="13">
        <f>ROUND(27083.92,2)</f>
        <v>27083.92</v>
      </c>
      <c r="I104" s="13">
        <f t="shared" si="14"/>
        <v>0</v>
      </c>
      <c r="J104" s="13">
        <f>ROUND(0,2)</f>
        <v>0</v>
      </c>
      <c r="K104" s="13">
        <f>ROUND(27083.92,2)</f>
        <v>27083.92</v>
      </c>
    </row>
    <row r="105" spans="1:11" ht="23.25">
      <c r="A105" s="11" t="s">
        <v>204</v>
      </c>
      <c r="B105" s="12" t="s">
        <v>211</v>
      </c>
      <c r="C105" s="12" t="s">
        <v>736</v>
      </c>
      <c r="D105" s="13">
        <f>ROUND(50300,2)</f>
        <v>50300</v>
      </c>
      <c r="E105" s="13">
        <f t="shared" si="13"/>
        <v>0</v>
      </c>
      <c r="F105" s="13">
        <f>ROUND(26000,2)</f>
        <v>26000</v>
      </c>
      <c r="G105" s="13">
        <f>ROUND(24300,2)</f>
        <v>24300</v>
      </c>
      <c r="H105" s="13">
        <f>ROUND(20000,2)</f>
        <v>20000</v>
      </c>
      <c r="I105" s="13">
        <f t="shared" si="14"/>
        <v>0</v>
      </c>
      <c r="J105" s="13">
        <f>ROUND(20000,2)</f>
        <v>20000</v>
      </c>
      <c r="K105" s="13">
        <f>ROUND(0,2)</f>
        <v>0</v>
      </c>
    </row>
    <row r="106" spans="1:11" ht="34.5">
      <c r="A106" s="11" t="s">
        <v>948</v>
      </c>
      <c r="B106" s="12" t="s">
        <v>738</v>
      </c>
      <c r="C106" s="12" t="s">
        <v>795</v>
      </c>
      <c r="D106" s="13">
        <f>ROUND(417000,2)</f>
        <v>417000</v>
      </c>
      <c r="E106" s="13">
        <f t="shared" si="13"/>
        <v>0</v>
      </c>
      <c r="F106" s="13">
        <f>ROUND(3000,2)</f>
        <v>3000</v>
      </c>
      <c r="G106" s="13">
        <f>ROUND(414000,2)</f>
        <v>414000</v>
      </c>
      <c r="H106" s="13">
        <f>ROUND(96880.5,2)</f>
        <v>96880.5</v>
      </c>
      <c r="I106" s="13">
        <f t="shared" si="14"/>
        <v>0</v>
      </c>
      <c r="J106" s="13">
        <f>ROUND(0,2)</f>
        <v>0</v>
      </c>
      <c r="K106" s="13">
        <f>ROUND(96880.5,2)</f>
        <v>96880.5</v>
      </c>
    </row>
    <row r="107" spans="1:11" ht="34.5">
      <c r="A107" s="11" t="s">
        <v>46</v>
      </c>
      <c r="B107" s="12" t="s">
        <v>990</v>
      </c>
      <c r="C107" s="12" t="s">
        <v>953</v>
      </c>
      <c r="D107" s="13">
        <f>ROUND(28300,2)</f>
        <v>28300</v>
      </c>
      <c r="E107" s="13">
        <f t="shared" si="13"/>
        <v>0</v>
      </c>
      <c r="F107" s="13">
        <f>ROUND(0,2)</f>
        <v>0</v>
      </c>
      <c r="G107" s="13">
        <f>ROUND(28300,2)</f>
        <v>28300</v>
      </c>
      <c r="H107" s="13">
        <f>ROUND(28201,2)</f>
        <v>28201</v>
      </c>
      <c r="I107" s="13">
        <f t="shared" si="14"/>
        <v>0</v>
      </c>
      <c r="J107" s="13">
        <f>ROUND(0,2)</f>
        <v>0</v>
      </c>
      <c r="K107" s="13">
        <f>ROUND(28201,2)</f>
        <v>28201</v>
      </c>
    </row>
    <row r="108" spans="1:11" ht="45.75">
      <c r="A108" s="11" t="s">
        <v>747</v>
      </c>
      <c r="B108" s="12" t="s">
        <v>718</v>
      </c>
      <c r="C108" s="12" t="s">
        <v>745</v>
      </c>
      <c r="D108" s="13">
        <f>ROUND(388700,2)</f>
        <v>388700</v>
      </c>
      <c r="E108" s="13">
        <f t="shared" si="13"/>
        <v>0</v>
      </c>
      <c r="F108" s="13">
        <f>ROUND(3000,2)</f>
        <v>3000</v>
      </c>
      <c r="G108" s="13">
        <f>ROUND(385700,2)</f>
        <v>385700</v>
      </c>
      <c r="H108" s="13">
        <f>ROUND(68679.5,2)</f>
        <v>68679.5</v>
      </c>
      <c r="I108" s="13">
        <f t="shared" si="14"/>
        <v>0</v>
      </c>
      <c r="J108" s="13">
        <f>ROUND(0,2)</f>
        <v>0</v>
      </c>
      <c r="K108" s="13">
        <f>ROUND(68679.5,2)</f>
        <v>68679.5</v>
      </c>
    </row>
    <row r="109" spans="1:11" ht="102">
      <c r="A109" s="11" t="s">
        <v>787</v>
      </c>
      <c r="B109" s="12" t="s">
        <v>101</v>
      </c>
      <c r="C109" s="12" t="s">
        <v>53</v>
      </c>
      <c r="D109" s="13">
        <f>ROUND(2896000,2)</f>
        <v>2896000</v>
      </c>
      <c r="E109" s="13">
        <f t="shared" si="13"/>
        <v>0</v>
      </c>
      <c r="F109" s="13">
        <f>ROUND(2896000,2)</f>
        <v>2896000</v>
      </c>
      <c r="G109" s="13">
        <f aca="true" t="shared" si="15" ref="G109:G117">ROUND(0,2)</f>
        <v>0</v>
      </c>
      <c r="H109" s="13">
        <f>ROUND(226760.14,2)</f>
        <v>226760.14</v>
      </c>
      <c r="I109" s="13">
        <f t="shared" si="14"/>
        <v>0</v>
      </c>
      <c r="J109" s="13">
        <f>ROUND(226760.14,2)</f>
        <v>226760.14</v>
      </c>
      <c r="K109" s="13">
        <f aca="true" t="shared" si="16" ref="K109:K117">ROUND(0,2)</f>
        <v>0</v>
      </c>
    </row>
    <row r="110" spans="1:11" ht="23.25">
      <c r="A110" s="11" t="s">
        <v>366</v>
      </c>
      <c r="B110" s="12" t="s">
        <v>479</v>
      </c>
      <c r="C110" s="12" t="s">
        <v>99</v>
      </c>
      <c r="D110" s="13">
        <f>ROUND(2893000,2)</f>
        <v>2893000</v>
      </c>
      <c r="E110" s="13">
        <f t="shared" si="13"/>
        <v>0</v>
      </c>
      <c r="F110" s="13">
        <f>ROUND(2893000,2)</f>
        <v>2893000</v>
      </c>
      <c r="G110" s="13">
        <f t="shared" si="15"/>
        <v>0</v>
      </c>
      <c r="H110" s="13">
        <f>ROUND(226760.14,2)</f>
        <v>226760.14</v>
      </c>
      <c r="I110" s="13">
        <f t="shared" si="14"/>
        <v>0</v>
      </c>
      <c r="J110" s="13">
        <f>ROUND(226760.14,2)</f>
        <v>226760.14</v>
      </c>
      <c r="K110" s="13">
        <f t="shared" si="16"/>
        <v>0</v>
      </c>
    </row>
    <row r="111" spans="1:11" ht="45.75">
      <c r="A111" s="11" t="s">
        <v>827</v>
      </c>
      <c r="B111" s="12" t="s">
        <v>220</v>
      </c>
      <c r="C111" s="12" t="s">
        <v>801</v>
      </c>
      <c r="D111" s="13">
        <f>ROUND(2867000,2)</f>
        <v>2867000</v>
      </c>
      <c r="E111" s="13">
        <f t="shared" si="13"/>
        <v>0</v>
      </c>
      <c r="F111" s="13">
        <f>ROUND(2867000,2)</f>
        <v>2867000</v>
      </c>
      <c r="G111" s="13">
        <f t="shared" si="15"/>
        <v>0</v>
      </c>
      <c r="H111" s="13">
        <f>ROUND(206760.14,2)</f>
        <v>206760.14</v>
      </c>
      <c r="I111" s="13">
        <f t="shared" si="14"/>
        <v>0</v>
      </c>
      <c r="J111" s="13">
        <f>ROUND(206760.14,2)</f>
        <v>206760.14</v>
      </c>
      <c r="K111" s="13">
        <f t="shared" si="16"/>
        <v>0</v>
      </c>
    </row>
    <row r="112" spans="1:11" ht="23.25">
      <c r="A112" s="11" t="s">
        <v>340</v>
      </c>
      <c r="B112" s="12" t="s">
        <v>658</v>
      </c>
      <c r="C112" s="12" t="s">
        <v>189</v>
      </c>
      <c r="D112" s="13">
        <f>ROUND(2200000,2)</f>
        <v>2200000</v>
      </c>
      <c r="E112" s="13">
        <f t="shared" si="13"/>
        <v>0</v>
      </c>
      <c r="F112" s="13">
        <f>ROUND(2200000,2)</f>
        <v>2200000</v>
      </c>
      <c r="G112" s="13">
        <f t="shared" si="15"/>
        <v>0</v>
      </c>
      <c r="H112" s="13">
        <f>ROUND(176531.14,2)</f>
        <v>176531.14</v>
      </c>
      <c r="I112" s="13">
        <f t="shared" si="14"/>
        <v>0</v>
      </c>
      <c r="J112" s="13">
        <f>ROUND(176531.14,2)</f>
        <v>176531.14</v>
      </c>
      <c r="K112" s="13">
        <f t="shared" si="16"/>
        <v>0</v>
      </c>
    </row>
    <row r="113" spans="1:11" ht="34.5">
      <c r="A113" s="11" t="s">
        <v>653</v>
      </c>
      <c r="B113" s="12" t="s">
        <v>578</v>
      </c>
      <c r="C113" s="12" t="s">
        <v>122</v>
      </c>
      <c r="D113" s="13">
        <f>ROUND(667000,2)</f>
        <v>667000</v>
      </c>
      <c r="E113" s="13">
        <f t="shared" si="13"/>
        <v>0</v>
      </c>
      <c r="F113" s="13">
        <f>ROUND(667000,2)</f>
        <v>667000</v>
      </c>
      <c r="G113" s="13">
        <f t="shared" si="15"/>
        <v>0</v>
      </c>
      <c r="H113" s="13">
        <f>ROUND(30229,2)</f>
        <v>30229</v>
      </c>
      <c r="I113" s="13">
        <f t="shared" si="14"/>
        <v>0</v>
      </c>
      <c r="J113" s="13">
        <f>ROUND(30229,2)</f>
        <v>30229</v>
      </c>
      <c r="K113" s="13">
        <f t="shared" si="16"/>
        <v>0</v>
      </c>
    </row>
    <row r="114" spans="1:11" ht="23.25">
      <c r="A114" s="11" t="s">
        <v>110</v>
      </c>
      <c r="B114" s="12" t="s">
        <v>987</v>
      </c>
      <c r="C114" s="12" t="s">
        <v>238</v>
      </c>
      <c r="D114" s="13">
        <f>ROUND(26000,2)</f>
        <v>26000</v>
      </c>
      <c r="E114" s="13">
        <f t="shared" si="13"/>
        <v>0</v>
      </c>
      <c r="F114" s="13">
        <f>ROUND(26000,2)</f>
        <v>26000</v>
      </c>
      <c r="G114" s="13">
        <f t="shared" si="15"/>
        <v>0</v>
      </c>
      <c r="H114" s="13">
        <f>ROUND(20000,2)</f>
        <v>20000</v>
      </c>
      <c r="I114" s="13">
        <f t="shared" si="14"/>
        <v>0</v>
      </c>
      <c r="J114" s="13">
        <f>ROUND(20000,2)</f>
        <v>20000</v>
      </c>
      <c r="K114" s="13">
        <f t="shared" si="16"/>
        <v>0</v>
      </c>
    </row>
    <row r="115" spans="1:11" ht="23.25">
      <c r="A115" s="11" t="s">
        <v>18</v>
      </c>
      <c r="B115" s="12" t="s">
        <v>792</v>
      </c>
      <c r="C115" s="12" t="s">
        <v>736</v>
      </c>
      <c r="D115" s="13">
        <f>ROUND(26000,2)</f>
        <v>26000</v>
      </c>
      <c r="E115" s="13">
        <f t="shared" si="13"/>
        <v>0</v>
      </c>
      <c r="F115" s="13">
        <f>ROUND(26000,2)</f>
        <v>26000</v>
      </c>
      <c r="G115" s="13">
        <f t="shared" si="15"/>
        <v>0</v>
      </c>
      <c r="H115" s="13">
        <f>ROUND(20000,2)</f>
        <v>20000</v>
      </c>
      <c r="I115" s="13">
        <f t="shared" si="14"/>
        <v>0</v>
      </c>
      <c r="J115" s="13">
        <f>ROUND(20000,2)</f>
        <v>20000</v>
      </c>
      <c r="K115" s="13">
        <f t="shared" si="16"/>
        <v>0</v>
      </c>
    </row>
    <row r="116" spans="1:11" ht="34.5">
      <c r="A116" s="11" t="s">
        <v>684</v>
      </c>
      <c r="B116" s="12" t="s">
        <v>270</v>
      </c>
      <c r="C116" s="12" t="s">
        <v>795</v>
      </c>
      <c r="D116" s="13">
        <f>ROUND(3000,2)</f>
        <v>3000</v>
      </c>
      <c r="E116" s="13">
        <f t="shared" si="13"/>
        <v>0</v>
      </c>
      <c r="F116" s="13">
        <f>ROUND(3000,2)</f>
        <v>3000</v>
      </c>
      <c r="G116" s="13">
        <f t="shared" si="15"/>
        <v>0</v>
      </c>
      <c r="H116" s="13">
        <f>ROUND(0,2)</f>
        <v>0</v>
      </c>
      <c r="I116" s="13">
        <f t="shared" si="14"/>
        <v>0</v>
      </c>
      <c r="J116" s="13">
        <f aca="true" t="shared" si="17" ref="J116:J135">ROUND(0,2)</f>
        <v>0</v>
      </c>
      <c r="K116" s="13">
        <f t="shared" si="16"/>
        <v>0</v>
      </c>
    </row>
    <row r="117" spans="1:11" ht="45.75">
      <c r="A117" s="11" t="s">
        <v>523</v>
      </c>
      <c r="B117" s="12" t="s">
        <v>282</v>
      </c>
      <c r="C117" s="12" t="s">
        <v>745</v>
      </c>
      <c r="D117" s="13">
        <f>ROUND(3000,2)</f>
        <v>3000</v>
      </c>
      <c r="E117" s="13">
        <f t="shared" si="13"/>
        <v>0</v>
      </c>
      <c r="F117" s="13">
        <f>ROUND(3000,2)</f>
        <v>3000</v>
      </c>
      <c r="G117" s="13">
        <f t="shared" si="15"/>
        <v>0</v>
      </c>
      <c r="H117" s="13">
        <f>ROUND(0,2)</f>
        <v>0</v>
      </c>
      <c r="I117" s="13">
        <f t="shared" si="14"/>
        <v>0</v>
      </c>
      <c r="J117" s="13">
        <f t="shared" si="17"/>
        <v>0</v>
      </c>
      <c r="K117" s="13">
        <f t="shared" si="16"/>
        <v>0</v>
      </c>
    </row>
    <row r="118" spans="1:11" ht="34.5">
      <c r="A118" s="11" t="s">
        <v>420</v>
      </c>
      <c r="B118" s="12" t="s">
        <v>457</v>
      </c>
      <c r="C118" s="12" t="s">
        <v>547</v>
      </c>
      <c r="D118" s="13">
        <f>ROUND(1554300,2)</f>
        <v>1554300</v>
      </c>
      <c r="E118" s="13">
        <f t="shared" si="13"/>
        <v>0</v>
      </c>
      <c r="F118" s="13">
        <f aca="true" t="shared" si="18" ref="F118:F135">ROUND(0,2)</f>
        <v>0</v>
      </c>
      <c r="G118" s="13">
        <f>ROUND(1554300,2)</f>
        <v>1554300</v>
      </c>
      <c r="H118" s="13">
        <f>ROUND(348259.24,2)</f>
        <v>348259.24</v>
      </c>
      <c r="I118" s="13">
        <f t="shared" si="14"/>
        <v>0</v>
      </c>
      <c r="J118" s="13">
        <f t="shared" si="17"/>
        <v>0</v>
      </c>
      <c r="K118" s="13">
        <f>ROUND(348259.24,2)</f>
        <v>348259.24</v>
      </c>
    </row>
    <row r="119" spans="1:11" ht="23.25">
      <c r="A119" s="11" t="s">
        <v>908</v>
      </c>
      <c r="B119" s="12" t="s">
        <v>119</v>
      </c>
      <c r="C119" s="12" t="s">
        <v>99</v>
      </c>
      <c r="D119" s="13">
        <f>ROUND(1302300,2)</f>
        <v>1302300</v>
      </c>
      <c r="E119" s="13">
        <f t="shared" si="13"/>
        <v>0</v>
      </c>
      <c r="F119" s="13">
        <f t="shared" si="18"/>
        <v>0</v>
      </c>
      <c r="G119" s="13">
        <f>ROUND(1302300,2)</f>
        <v>1302300</v>
      </c>
      <c r="H119" s="13">
        <f>ROUND(303180.74,2)</f>
        <v>303180.74</v>
      </c>
      <c r="I119" s="13">
        <f t="shared" si="14"/>
        <v>0</v>
      </c>
      <c r="J119" s="13">
        <f t="shared" si="17"/>
        <v>0</v>
      </c>
      <c r="K119" s="13">
        <f>ROUND(303180.74,2)</f>
        <v>303180.74</v>
      </c>
    </row>
    <row r="120" spans="1:11" ht="45.75">
      <c r="A120" s="11" t="s">
        <v>315</v>
      </c>
      <c r="B120" s="12" t="s">
        <v>385</v>
      </c>
      <c r="C120" s="12" t="s">
        <v>801</v>
      </c>
      <c r="D120" s="13">
        <f>ROUND(1296300,2)</f>
        <v>1296300</v>
      </c>
      <c r="E120" s="13">
        <f t="shared" si="13"/>
        <v>0</v>
      </c>
      <c r="F120" s="13">
        <f t="shared" si="18"/>
        <v>0</v>
      </c>
      <c r="G120" s="13">
        <f>ROUND(1296300,2)</f>
        <v>1296300</v>
      </c>
      <c r="H120" s="13">
        <f>ROUND(302337.33,2)</f>
        <v>302337.33</v>
      </c>
      <c r="I120" s="13">
        <f t="shared" si="14"/>
        <v>0</v>
      </c>
      <c r="J120" s="13">
        <f t="shared" si="17"/>
        <v>0</v>
      </c>
      <c r="K120" s="13">
        <f>ROUND(302337.33,2)</f>
        <v>302337.33</v>
      </c>
    </row>
    <row r="121" spans="1:11" ht="23.25">
      <c r="A121" s="11" t="s">
        <v>947</v>
      </c>
      <c r="B121" s="12" t="s">
        <v>843</v>
      </c>
      <c r="C121" s="12" t="s">
        <v>189</v>
      </c>
      <c r="D121" s="13">
        <f>ROUND(994000,2)</f>
        <v>994000</v>
      </c>
      <c r="E121" s="13">
        <f t="shared" si="13"/>
        <v>0</v>
      </c>
      <c r="F121" s="13">
        <f t="shared" si="18"/>
        <v>0</v>
      </c>
      <c r="G121" s="13">
        <f>ROUND(994000,2)</f>
        <v>994000</v>
      </c>
      <c r="H121" s="13">
        <f>ROUND(241495.51,2)</f>
        <v>241495.51</v>
      </c>
      <c r="I121" s="13">
        <f t="shared" si="14"/>
        <v>0</v>
      </c>
      <c r="J121" s="13">
        <f t="shared" si="17"/>
        <v>0</v>
      </c>
      <c r="K121" s="13">
        <f>ROUND(241495.51,2)</f>
        <v>241495.51</v>
      </c>
    </row>
    <row r="122" spans="1:11" ht="34.5">
      <c r="A122" s="11" t="s">
        <v>810</v>
      </c>
      <c r="B122" s="12" t="s">
        <v>945</v>
      </c>
      <c r="C122" s="12" t="s">
        <v>122</v>
      </c>
      <c r="D122" s="13">
        <f>ROUND(302300,2)</f>
        <v>302300</v>
      </c>
      <c r="E122" s="13">
        <f t="shared" si="13"/>
        <v>0</v>
      </c>
      <c r="F122" s="13">
        <f t="shared" si="18"/>
        <v>0</v>
      </c>
      <c r="G122" s="13">
        <f>ROUND(302300,2)</f>
        <v>302300</v>
      </c>
      <c r="H122" s="13">
        <f>ROUND(60841.82,2)</f>
        <v>60841.82</v>
      </c>
      <c r="I122" s="13">
        <f t="shared" si="14"/>
        <v>0</v>
      </c>
      <c r="J122" s="13">
        <f t="shared" si="17"/>
        <v>0</v>
      </c>
      <c r="K122" s="13">
        <f>ROUND(60841.82,2)</f>
        <v>60841.82</v>
      </c>
    </row>
    <row r="123" spans="1:11" ht="23.25">
      <c r="A123" s="11" t="s">
        <v>346</v>
      </c>
      <c r="B123" s="12" t="s">
        <v>639</v>
      </c>
      <c r="C123" s="12" t="s">
        <v>238</v>
      </c>
      <c r="D123" s="13">
        <f>ROUND(6000,2)</f>
        <v>6000</v>
      </c>
      <c r="E123" s="13">
        <f t="shared" si="13"/>
        <v>0</v>
      </c>
      <c r="F123" s="13">
        <f t="shared" si="18"/>
        <v>0</v>
      </c>
      <c r="G123" s="13">
        <f>ROUND(6000,2)</f>
        <v>6000</v>
      </c>
      <c r="H123" s="13">
        <f>ROUND(843.41,2)</f>
        <v>843.41</v>
      </c>
      <c r="I123" s="13">
        <f t="shared" si="14"/>
        <v>0</v>
      </c>
      <c r="J123" s="13">
        <f t="shared" si="17"/>
        <v>0</v>
      </c>
      <c r="K123" s="13">
        <f>ROUND(843.41,2)</f>
        <v>843.41</v>
      </c>
    </row>
    <row r="124" spans="1:11" ht="23.25">
      <c r="A124" s="11" t="s">
        <v>805</v>
      </c>
      <c r="B124" s="12" t="s">
        <v>30</v>
      </c>
      <c r="C124" s="12" t="s">
        <v>631</v>
      </c>
      <c r="D124" s="13">
        <f>ROUND(6000,2)</f>
        <v>6000</v>
      </c>
      <c r="E124" s="13">
        <f t="shared" si="13"/>
        <v>0</v>
      </c>
      <c r="F124" s="13">
        <f t="shared" si="18"/>
        <v>0</v>
      </c>
      <c r="G124" s="13">
        <f>ROUND(6000,2)</f>
        <v>6000</v>
      </c>
      <c r="H124" s="13">
        <f>ROUND(843.41,2)</f>
        <v>843.41</v>
      </c>
      <c r="I124" s="13">
        <f t="shared" si="14"/>
        <v>0</v>
      </c>
      <c r="J124" s="13">
        <f t="shared" si="17"/>
        <v>0</v>
      </c>
      <c r="K124" s="13">
        <f>ROUND(843.41,2)</f>
        <v>843.41</v>
      </c>
    </row>
    <row r="125" spans="1:11" ht="34.5">
      <c r="A125" s="11" t="s">
        <v>879</v>
      </c>
      <c r="B125" s="12" t="s">
        <v>171</v>
      </c>
      <c r="C125" s="12" t="s">
        <v>795</v>
      </c>
      <c r="D125" s="13">
        <f>ROUND(252000,2)</f>
        <v>252000</v>
      </c>
      <c r="E125" s="13">
        <f t="shared" si="13"/>
        <v>0</v>
      </c>
      <c r="F125" s="13">
        <f t="shared" si="18"/>
        <v>0</v>
      </c>
      <c r="G125" s="13">
        <f>ROUND(252000,2)</f>
        <v>252000</v>
      </c>
      <c r="H125" s="13">
        <f>ROUND(45078.5,2)</f>
        <v>45078.5</v>
      </c>
      <c r="I125" s="13">
        <f t="shared" si="14"/>
        <v>0</v>
      </c>
      <c r="J125" s="13">
        <f t="shared" si="17"/>
        <v>0</v>
      </c>
      <c r="K125" s="13">
        <f>ROUND(45078.5,2)</f>
        <v>45078.5</v>
      </c>
    </row>
    <row r="126" spans="1:11" ht="34.5">
      <c r="A126" s="11" t="s">
        <v>770</v>
      </c>
      <c r="B126" s="12" t="s">
        <v>432</v>
      </c>
      <c r="C126" s="12" t="s">
        <v>953</v>
      </c>
      <c r="D126" s="13">
        <f>ROUND(2300,2)</f>
        <v>2300</v>
      </c>
      <c r="E126" s="13">
        <f t="shared" si="13"/>
        <v>0</v>
      </c>
      <c r="F126" s="13">
        <f t="shared" si="18"/>
        <v>0</v>
      </c>
      <c r="G126" s="13">
        <f>ROUND(2300,2)</f>
        <v>2300</v>
      </c>
      <c r="H126" s="13">
        <f>ROUND(2300,2)</f>
        <v>2300</v>
      </c>
      <c r="I126" s="13">
        <f t="shared" si="14"/>
        <v>0</v>
      </c>
      <c r="J126" s="13">
        <f t="shared" si="17"/>
        <v>0</v>
      </c>
      <c r="K126" s="13">
        <f>ROUND(2300,2)</f>
        <v>2300</v>
      </c>
    </row>
    <row r="127" spans="1:11" ht="45.75">
      <c r="A127" s="11" t="s">
        <v>27</v>
      </c>
      <c r="B127" s="12" t="s">
        <v>185</v>
      </c>
      <c r="C127" s="12" t="s">
        <v>745</v>
      </c>
      <c r="D127" s="13">
        <f>ROUND(249700,2)</f>
        <v>249700</v>
      </c>
      <c r="E127" s="13">
        <f t="shared" si="13"/>
        <v>0</v>
      </c>
      <c r="F127" s="13">
        <f t="shared" si="18"/>
        <v>0</v>
      </c>
      <c r="G127" s="13">
        <f>ROUND(249700,2)</f>
        <v>249700</v>
      </c>
      <c r="H127" s="13">
        <f>ROUND(42778.5,2)</f>
        <v>42778.5</v>
      </c>
      <c r="I127" s="13">
        <f t="shared" si="14"/>
        <v>0</v>
      </c>
      <c r="J127" s="13">
        <f t="shared" si="17"/>
        <v>0</v>
      </c>
      <c r="K127" s="13">
        <f>ROUND(42778.5,2)</f>
        <v>42778.5</v>
      </c>
    </row>
    <row r="128" spans="1:11" ht="68.25">
      <c r="A128" s="11" t="s">
        <v>970</v>
      </c>
      <c r="B128" s="12" t="s">
        <v>170</v>
      </c>
      <c r="C128" s="12" t="s">
        <v>139</v>
      </c>
      <c r="D128" s="13">
        <f>ROUND(458600,2)</f>
        <v>458600</v>
      </c>
      <c r="E128" s="13">
        <f t="shared" si="13"/>
        <v>0</v>
      </c>
      <c r="F128" s="13">
        <f t="shared" si="18"/>
        <v>0</v>
      </c>
      <c r="G128" s="13">
        <f>ROUND(458600,2)</f>
        <v>458600</v>
      </c>
      <c r="H128" s="13">
        <f>ROUND(78885.92,2)</f>
        <v>78885.92</v>
      </c>
      <c r="I128" s="13">
        <f t="shared" si="14"/>
        <v>0</v>
      </c>
      <c r="J128" s="13">
        <f t="shared" si="17"/>
        <v>0</v>
      </c>
      <c r="K128" s="13">
        <f>ROUND(78885.92,2)</f>
        <v>78885.92</v>
      </c>
    </row>
    <row r="129" spans="1:11" ht="23.25">
      <c r="A129" s="11" t="s">
        <v>358</v>
      </c>
      <c r="B129" s="12" t="s">
        <v>281</v>
      </c>
      <c r="C129" s="12" t="s">
        <v>99</v>
      </c>
      <c r="D129" s="13">
        <f>ROUND(296600,2)</f>
        <v>296600</v>
      </c>
      <c r="E129" s="13">
        <f t="shared" si="13"/>
        <v>0</v>
      </c>
      <c r="F129" s="13">
        <f t="shared" si="18"/>
        <v>0</v>
      </c>
      <c r="G129" s="13">
        <f>ROUND(296600,2)</f>
        <v>296600</v>
      </c>
      <c r="H129" s="13">
        <f>ROUND(27083.92,2)</f>
        <v>27083.92</v>
      </c>
      <c r="I129" s="13">
        <f t="shared" si="14"/>
        <v>0</v>
      </c>
      <c r="J129" s="13">
        <f t="shared" si="17"/>
        <v>0</v>
      </c>
      <c r="K129" s="13">
        <f>ROUND(27083.92,2)</f>
        <v>27083.92</v>
      </c>
    </row>
    <row r="130" spans="1:11" ht="23.25">
      <c r="A130" s="11" t="s">
        <v>898</v>
      </c>
      <c r="B130" s="12" t="s">
        <v>823</v>
      </c>
      <c r="C130" s="12" t="s">
        <v>238</v>
      </c>
      <c r="D130" s="13">
        <f>ROUND(296600,2)</f>
        <v>296600</v>
      </c>
      <c r="E130" s="13">
        <f t="shared" si="13"/>
        <v>0</v>
      </c>
      <c r="F130" s="13">
        <f t="shared" si="18"/>
        <v>0</v>
      </c>
      <c r="G130" s="13">
        <f>ROUND(296600,2)</f>
        <v>296600</v>
      </c>
      <c r="H130" s="13">
        <f>ROUND(27083.92,2)</f>
        <v>27083.92</v>
      </c>
      <c r="I130" s="13">
        <f t="shared" si="14"/>
        <v>0</v>
      </c>
      <c r="J130" s="13">
        <f t="shared" si="17"/>
        <v>0</v>
      </c>
      <c r="K130" s="13">
        <f>ROUND(27083.92,2)</f>
        <v>27083.92</v>
      </c>
    </row>
    <row r="131" spans="1:11" ht="34.5">
      <c r="A131" s="11" t="s">
        <v>165</v>
      </c>
      <c r="B131" s="12" t="s">
        <v>293</v>
      </c>
      <c r="C131" s="12" t="s">
        <v>695</v>
      </c>
      <c r="D131" s="13">
        <f>ROUND(272300,2)</f>
        <v>272300</v>
      </c>
      <c r="E131" s="13">
        <f t="shared" si="13"/>
        <v>0</v>
      </c>
      <c r="F131" s="13">
        <f t="shared" si="18"/>
        <v>0</v>
      </c>
      <c r="G131" s="13">
        <f>ROUND(272300,2)</f>
        <v>272300</v>
      </c>
      <c r="H131" s="13">
        <f>ROUND(27083.92,2)</f>
        <v>27083.92</v>
      </c>
      <c r="I131" s="13">
        <f t="shared" si="14"/>
        <v>0</v>
      </c>
      <c r="J131" s="13">
        <f t="shared" si="17"/>
        <v>0</v>
      </c>
      <c r="K131" s="13">
        <f>ROUND(27083.92,2)</f>
        <v>27083.92</v>
      </c>
    </row>
    <row r="132" spans="1:11" ht="23.25">
      <c r="A132" s="11" t="s">
        <v>769</v>
      </c>
      <c r="B132" s="12" t="s">
        <v>981</v>
      </c>
      <c r="C132" s="12" t="s">
        <v>736</v>
      </c>
      <c r="D132" s="13">
        <f>ROUND(24300,2)</f>
        <v>24300</v>
      </c>
      <c r="E132" s="13">
        <f t="shared" si="13"/>
        <v>0</v>
      </c>
      <c r="F132" s="13">
        <f t="shared" si="18"/>
        <v>0</v>
      </c>
      <c r="G132" s="13">
        <f>ROUND(24300,2)</f>
        <v>24300</v>
      </c>
      <c r="H132" s="13">
        <f>ROUND(0,2)</f>
        <v>0</v>
      </c>
      <c r="I132" s="13">
        <f t="shared" si="14"/>
        <v>0</v>
      </c>
      <c r="J132" s="13">
        <f t="shared" si="17"/>
        <v>0</v>
      </c>
      <c r="K132" s="13">
        <f>ROUND(0,2)</f>
        <v>0</v>
      </c>
    </row>
    <row r="133" spans="1:11" ht="34.5">
      <c r="A133" s="11" t="s">
        <v>930</v>
      </c>
      <c r="B133" s="12" t="s">
        <v>456</v>
      </c>
      <c r="C133" s="12" t="s">
        <v>795</v>
      </c>
      <c r="D133" s="13">
        <f>ROUND(162000,2)</f>
        <v>162000</v>
      </c>
      <c r="E133" s="13">
        <f t="shared" si="13"/>
        <v>0</v>
      </c>
      <c r="F133" s="13">
        <f t="shared" si="18"/>
        <v>0</v>
      </c>
      <c r="G133" s="13">
        <f>ROUND(162000,2)</f>
        <v>162000</v>
      </c>
      <c r="H133" s="13">
        <f>ROUND(51802,2)</f>
        <v>51802</v>
      </c>
      <c r="I133" s="13">
        <f t="shared" si="14"/>
        <v>0</v>
      </c>
      <c r="J133" s="13">
        <f t="shared" si="17"/>
        <v>0</v>
      </c>
      <c r="K133" s="13">
        <f>ROUND(51802,2)</f>
        <v>51802</v>
      </c>
    </row>
    <row r="134" spans="1:11" ht="34.5">
      <c r="A134" s="11" t="s">
        <v>538</v>
      </c>
      <c r="B134" s="12" t="s">
        <v>197</v>
      </c>
      <c r="C134" s="12" t="s">
        <v>953</v>
      </c>
      <c r="D134" s="13">
        <f>ROUND(26000,2)</f>
        <v>26000</v>
      </c>
      <c r="E134" s="13">
        <f t="shared" si="13"/>
        <v>0</v>
      </c>
      <c r="F134" s="13">
        <f t="shared" si="18"/>
        <v>0</v>
      </c>
      <c r="G134" s="13">
        <f>ROUND(26000,2)</f>
        <v>26000</v>
      </c>
      <c r="H134" s="13">
        <f>ROUND(25901,2)</f>
        <v>25901</v>
      </c>
      <c r="I134" s="13">
        <f t="shared" si="14"/>
        <v>0</v>
      </c>
      <c r="J134" s="13">
        <f t="shared" si="17"/>
        <v>0</v>
      </c>
      <c r="K134" s="13">
        <f>ROUND(25901,2)</f>
        <v>25901</v>
      </c>
    </row>
    <row r="135" spans="1:11" ht="45.75">
      <c r="A135" s="11" t="s">
        <v>252</v>
      </c>
      <c r="B135" s="12" t="s">
        <v>478</v>
      </c>
      <c r="C135" s="12" t="s">
        <v>745</v>
      </c>
      <c r="D135" s="13">
        <f>ROUND(136000,2)</f>
        <v>136000</v>
      </c>
      <c r="E135" s="13">
        <f t="shared" si="13"/>
        <v>0</v>
      </c>
      <c r="F135" s="13">
        <f t="shared" si="18"/>
        <v>0</v>
      </c>
      <c r="G135" s="13">
        <f>ROUND(136000,2)</f>
        <v>136000</v>
      </c>
      <c r="H135" s="13">
        <f>ROUND(25901,2)</f>
        <v>25901</v>
      </c>
      <c r="I135" s="13">
        <f t="shared" si="14"/>
        <v>0</v>
      </c>
      <c r="J135" s="13">
        <f t="shared" si="17"/>
        <v>0</v>
      </c>
      <c r="K135" s="13">
        <f>ROUND(25901,2)</f>
        <v>25901</v>
      </c>
    </row>
    <row r="136" spans="1:11" ht="23.25">
      <c r="A136" s="11" t="s">
        <v>11</v>
      </c>
      <c r="B136" s="12" t="s">
        <v>698</v>
      </c>
      <c r="C136" s="12" t="s">
        <v>428</v>
      </c>
      <c r="D136" s="13">
        <f>ROUND(2439160,2)</f>
        <v>2439160</v>
      </c>
      <c r="E136" s="13">
        <f>ROUND(564101,2)</f>
        <v>564101</v>
      </c>
      <c r="F136" s="13">
        <f>ROUND(1734501,2)</f>
        <v>1734501</v>
      </c>
      <c r="G136" s="13">
        <f>ROUND(1268760,2)</f>
        <v>1268760</v>
      </c>
      <c r="H136" s="13">
        <f>ROUND(1271935.69,2)</f>
        <v>1271935.69</v>
      </c>
      <c r="I136" s="13">
        <f>ROUND(564101,2)</f>
        <v>564101</v>
      </c>
      <c r="J136" s="13">
        <f>ROUND(842310.59,2)</f>
        <v>842310.59</v>
      </c>
      <c r="K136" s="13">
        <f>ROUND(993726.1,2)</f>
        <v>993726.1</v>
      </c>
    </row>
    <row r="137" spans="1:11" ht="23.25">
      <c r="A137" s="11" t="s">
        <v>751</v>
      </c>
      <c r="B137" s="12" t="s">
        <v>798</v>
      </c>
      <c r="C137" s="12" t="s">
        <v>99</v>
      </c>
      <c r="D137" s="13">
        <f>ROUND(2345422.58,2)</f>
        <v>2345422.58</v>
      </c>
      <c r="E137" s="13">
        <f>ROUND(564101,2)</f>
        <v>564101</v>
      </c>
      <c r="F137" s="13">
        <f>ROUND(1640763.58,2)</f>
        <v>1640763.58</v>
      </c>
      <c r="G137" s="13">
        <f>ROUND(1268760,2)</f>
        <v>1268760</v>
      </c>
      <c r="H137" s="13">
        <f>ROUND(1256435.69,2)</f>
        <v>1256435.69</v>
      </c>
      <c r="I137" s="13">
        <f>ROUND(564101,2)</f>
        <v>564101</v>
      </c>
      <c r="J137" s="13">
        <f>ROUND(826810.59,2)</f>
        <v>826810.59</v>
      </c>
      <c r="K137" s="13">
        <f>ROUND(993726.1,2)</f>
        <v>993726.1</v>
      </c>
    </row>
    <row r="138" spans="1:11" ht="45.75">
      <c r="A138" s="11" t="s">
        <v>182</v>
      </c>
      <c r="B138" s="12" t="s">
        <v>530</v>
      </c>
      <c r="C138" s="12" t="s">
        <v>801</v>
      </c>
      <c r="D138" s="13">
        <f>ROUND(1060700,2)</f>
        <v>1060700</v>
      </c>
      <c r="E138" s="13">
        <f aca="true" t="shared" si="19" ref="E138:E144">ROUND(0,2)</f>
        <v>0</v>
      </c>
      <c r="F138" s="13">
        <f>ROUND(1060700,2)</f>
        <v>1060700</v>
      </c>
      <c r="G138" s="13">
        <f>ROUND(0,2)</f>
        <v>0</v>
      </c>
      <c r="H138" s="13">
        <f>ROUND(253194.81,2)</f>
        <v>253194.81</v>
      </c>
      <c r="I138" s="13">
        <f aca="true" t="shared" si="20" ref="I138:I144">ROUND(0,2)</f>
        <v>0</v>
      </c>
      <c r="J138" s="13">
        <f>ROUND(253194.81,2)</f>
        <v>253194.81</v>
      </c>
      <c r="K138" s="13">
        <f>ROUND(0,2)</f>
        <v>0</v>
      </c>
    </row>
    <row r="139" spans="1:11" ht="23.25">
      <c r="A139" s="11" t="s">
        <v>582</v>
      </c>
      <c r="B139" s="12" t="s">
        <v>81</v>
      </c>
      <c r="C139" s="12" t="s">
        <v>189</v>
      </c>
      <c r="D139" s="13">
        <f>ROUND(790200,2)</f>
        <v>790200</v>
      </c>
      <c r="E139" s="13">
        <f t="shared" si="19"/>
        <v>0</v>
      </c>
      <c r="F139" s="13">
        <f>ROUND(790200,2)</f>
        <v>790200</v>
      </c>
      <c r="G139" s="13">
        <f>ROUND(0,2)</f>
        <v>0</v>
      </c>
      <c r="H139" s="13">
        <f>ROUND(209385,2)</f>
        <v>209385</v>
      </c>
      <c r="I139" s="13">
        <f t="shared" si="20"/>
        <v>0</v>
      </c>
      <c r="J139" s="13">
        <f>ROUND(209385,2)</f>
        <v>209385</v>
      </c>
      <c r="K139" s="13">
        <f>ROUND(0,2)</f>
        <v>0</v>
      </c>
    </row>
    <row r="140" spans="1:11" ht="23.25">
      <c r="A140" s="11" t="s">
        <v>116</v>
      </c>
      <c r="B140" s="12" t="s">
        <v>710</v>
      </c>
      <c r="C140" s="12" t="s">
        <v>288</v>
      </c>
      <c r="D140" s="13">
        <f>ROUND(2800,2)</f>
        <v>2800</v>
      </c>
      <c r="E140" s="13">
        <f t="shared" si="19"/>
        <v>0</v>
      </c>
      <c r="F140" s="13">
        <f>ROUND(2800,2)</f>
        <v>2800</v>
      </c>
      <c r="G140" s="13">
        <f>ROUND(0,2)</f>
        <v>0</v>
      </c>
      <c r="H140" s="13">
        <f>ROUND(1600,2)</f>
        <v>1600</v>
      </c>
      <c r="I140" s="13">
        <f t="shared" si="20"/>
        <v>0</v>
      </c>
      <c r="J140" s="13">
        <f>ROUND(1600,2)</f>
        <v>1600</v>
      </c>
      <c r="K140" s="13">
        <f>ROUND(0,2)</f>
        <v>0</v>
      </c>
    </row>
    <row r="141" spans="1:11" ht="34.5">
      <c r="A141" s="11" t="s">
        <v>660</v>
      </c>
      <c r="B141" s="12" t="s">
        <v>230</v>
      </c>
      <c r="C141" s="12" t="s">
        <v>122</v>
      </c>
      <c r="D141" s="13">
        <f>ROUND(267700,2)</f>
        <v>267700</v>
      </c>
      <c r="E141" s="13">
        <f t="shared" si="19"/>
        <v>0</v>
      </c>
      <c r="F141" s="13">
        <f>ROUND(267700,2)</f>
        <v>267700</v>
      </c>
      <c r="G141" s="13">
        <f>ROUND(0,2)</f>
        <v>0</v>
      </c>
      <c r="H141" s="13">
        <f>ROUND(42209.81,2)</f>
        <v>42209.81</v>
      </c>
      <c r="I141" s="13">
        <f t="shared" si="20"/>
        <v>0</v>
      </c>
      <c r="J141" s="13">
        <f>ROUND(42209.81,2)</f>
        <v>42209.81</v>
      </c>
      <c r="K141" s="13">
        <f>ROUND(0,2)</f>
        <v>0</v>
      </c>
    </row>
    <row r="142" spans="1:11" ht="23.25">
      <c r="A142" s="11" t="s">
        <v>222</v>
      </c>
      <c r="B142" s="12" t="s">
        <v>265</v>
      </c>
      <c r="C142" s="12" t="s">
        <v>238</v>
      </c>
      <c r="D142" s="13">
        <f>ROUND(1284222.58,2)</f>
        <v>1284222.58</v>
      </c>
      <c r="E142" s="13">
        <f t="shared" si="19"/>
        <v>0</v>
      </c>
      <c r="F142" s="13">
        <f>ROUND(15462.58,2)</f>
        <v>15462.58</v>
      </c>
      <c r="G142" s="13">
        <f>ROUND(1268760,2)</f>
        <v>1268760</v>
      </c>
      <c r="H142" s="13">
        <f>ROUND(1003168.99,2)</f>
        <v>1003168.99</v>
      </c>
      <c r="I142" s="13">
        <f t="shared" si="20"/>
        <v>0</v>
      </c>
      <c r="J142" s="13">
        <f>ROUND(9442.89,2)</f>
        <v>9442.89</v>
      </c>
      <c r="K142" s="13">
        <f>ROUND(993726.1,2)</f>
        <v>993726.1</v>
      </c>
    </row>
    <row r="143" spans="1:11" ht="23.25">
      <c r="A143" s="11" t="s">
        <v>671</v>
      </c>
      <c r="B143" s="12" t="s">
        <v>876</v>
      </c>
      <c r="C143" s="12" t="s">
        <v>631</v>
      </c>
      <c r="D143" s="13">
        <f>ROUND(7500,2)</f>
        <v>7500</v>
      </c>
      <c r="E143" s="13">
        <f t="shared" si="19"/>
        <v>0</v>
      </c>
      <c r="F143" s="13">
        <f>ROUND(7500,2)</f>
        <v>7500</v>
      </c>
      <c r="G143" s="13">
        <f>ROUND(0,2)</f>
        <v>0</v>
      </c>
      <c r="H143" s="13">
        <f>ROUND(6480.31,2)</f>
        <v>6480.31</v>
      </c>
      <c r="I143" s="13">
        <f t="shared" si="20"/>
        <v>0</v>
      </c>
      <c r="J143" s="13">
        <f>ROUND(6480.31,2)</f>
        <v>6480.31</v>
      </c>
      <c r="K143" s="13">
        <f>ROUND(0,2)</f>
        <v>0</v>
      </c>
    </row>
    <row r="144" spans="1:11" ht="23.25">
      <c r="A144" s="11" t="s">
        <v>334</v>
      </c>
      <c r="B144" s="12" t="s">
        <v>474</v>
      </c>
      <c r="C144" s="12" t="s">
        <v>736</v>
      </c>
      <c r="D144" s="13">
        <f>ROUND(1276722.58,2)</f>
        <v>1276722.58</v>
      </c>
      <c r="E144" s="13">
        <f t="shared" si="19"/>
        <v>0</v>
      </c>
      <c r="F144" s="13">
        <f>ROUND(7962.58,2)</f>
        <v>7962.58</v>
      </c>
      <c r="G144" s="13">
        <f>ROUND(1268760,2)</f>
        <v>1268760</v>
      </c>
      <c r="H144" s="13">
        <f>ROUND(996688.68,2)</f>
        <v>996688.68</v>
      </c>
      <c r="I144" s="13">
        <f t="shared" si="20"/>
        <v>0</v>
      </c>
      <c r="J144" s="13">
        <f>ROUND(2962.58,2)</f>
        <v>2962.58</v>
      </c>
      <c r="K144" s="13">
        <f>ROUND(993726.1,2)</f>
        <v>993726.1</v>
      </c>
    </row>
    <row r="145" spans="1:11" ht="34.5">
      <c r="A145" s="11" t="s">
        <v>158</v>
      </c>
      <c r="B145" s="12" t="s">
        <v>555</v>
      </c>
      <c r="C145" s="12" t="s">
        <v>215</v>
      </c>
      <c r="D145" s="13">
        <f>ROUND(0,2)</f>
        <v>0</v>
      </c>
      <c r="E145" s="13">
        <f>ROUND(564101,2)</f>
        <v>564101</v>
      </c>
      <c r="F145" s="13">
        <f>ROUND(564101,2)</f>
        <v>564101</v>
      </c>
      <c r="G145" s="13">
        <f>ROUND(0,2)</f>
        <v>0</v>
      </c>
      <c r="H145" s="13">
        <f>ROUND(0,2)</f>
        <v>0</v>
      </c>
      <c r="I145" s="13">
        <f>ROUND(564101,2)</f>
        <v>564101</v>
      </c>
      <c r="J145" s="13">
        <f>ROUND(564101,2)</f>
        <v>564101</v>
      </c>
      <c r="K145" s="13">
        <f aca="true" t="shared" si="21" ref="K145:K161">ROUND(0,2)</f>
        <v>0</v>
      </c>
    </row>
    <row r="146" spans="1:11" ht="68.25">
      <c r="A146" s="11" t="s">
        <v>783</v>
      </c>
      <c r="B146" s="12" t="s">
        <v>60</v>
      </c>
      <c r="C146" s="12" t="s">
        <v>1033</v>
      </c>
      <c r="D146" s="13">
        <f>ROUND(0,2)</f>
        <v>0</v>
      </c>
      <c r="E146" s="13">
        <f>ROUND(564101,2)</f>
        <v>564101</v>
      </c>
      <c r="F146" s="13">
        <f>ROUND(564101,2)</f>
        <v>564101</v>
      </c>
      <c r="G146" s="13">
        <f>ROUND(0,2)</f>
        <v>0</v>
      </c>
      <c r="H146" s="13">
        <f>ROUND(0,2)</f>
        <v>0</v>
      </c>
      <c r="I146" s="13">
        <f>ROUND(564101,2)</f>
        <v>564101</v>
      </c>
      <c r="J146" s="13">
        <f>ROUND(564101,2)</f>
        <v>564101</v>
      </c>
      <c r="K146" s="13">
        <f t="shared" si="21"/>
        <v>0</v>
      </c>
    </row>
    <row r="147" spans="1:11" ht="23.25">
      <c r="A147" s="11" t="s">
        <v>115</v>
      </c>
      <c r="B147" s="12" t="s">
        <v>570</v>
      </c>
      <c r="C147" s="12" t="s">
        <v>961</v>
      </c>
      <c r="D147" s="13">
        <f>ROUND(500,2)</f>
        <v>500</v>
      </c>
      <c r="E147" s="13">
        <f aca="true" t="shared" si="22" ref="E147:E161">ROUND(0,2)</f>
        <v>0</v>
      </c>
      <c r="F147" s="13">
        <f>ROUND(500,2)</f>
        <v>500</v>
      </c>
      <c r="G147" s="13">
        <f aca="true" t="shared" si="23" ref="G147:G161">ROUND(0,2)</f>
        <v>0</v>
      </c>
      <c r="H147" s="13">
        <f>ROUND(71.89,2)</f>
        <v>71.89</v>
      </c>
      <c r="I147" s="13">
        <f aca="true" t="shared" si="24" ref="I147:I161">ROUND(0,2)</f>
        <v>0</v>
      </c>
      <c r="J147" s="13">
        <f>ROUND(71.89,2)</f>
        <v>71.89</v>
      </c>
      <c r="K147" s="13">
        <f t="shared" si="21"/>
        <v>0</v>
      </c>
    </row>
    <row r="148" spans="1:11" ht="34.5">
      <c r="A148" s="11" t="s">
        <v>581</v>
      </c>
      <c r="B148" s="12" t="s">
        <v>999</v>
      </c>
      <c r="C148" s="12" t="s">
        <v>795</v>
      </c>
      <c r="D148" s="13">
        <f>ROUND(93737.42,2)</f>
        <v>93737.42</v>
      </c>
      <c r="E148" s="13">
        <f t="shared" si="22"/>
        <v>0</v>
      </c>
      <c r="F148" s="13">
        <f>ROUND(93737.42,2)</f>
        <v>93737.42</v>
      </c>
      <c r="G148" s="13">
        <f t="shared" si="23"/>
        <v>0</v>
      </c>
      <c r="H148" s="13">
        <f>ROUND(15500,2)</f>
        <v>15500</v>
      </c>
      <c r="I148" s="13">
        <f t="shared" si="24"/>
        <v>0</v>
      </c>
      <c r="J148" s="13">
        <f>ROUND(15500,2)</f>
        <v>15500</v>
      </c>
      <c r="K148" s="13">
        <f t="shared" si="21"/>
        <v>0</v>
      </c>
    </row>
    <row r="149" spans="1:11" ht="45.75">
      <c r="A149" s="11" t="s">
        <v>863</v>
      </c>
      <c r="B149" s="12" t="s">
        <v>976</v>
      </c>
      <c r="C149" s="12" t="s">
        <v>745</v>
      </c>
      <c r="D149" s="13">
        <f>ROUND(93737.42,2)</f>
        <v>93737.42</v>
      </c>
      <c r="E149" s="13">
        <f t="shared" si="22"/>
        <v>0</v>
      </c>
      <c r="F149" s="13">
        <f>ROUND(93737.42,2)</f>
        <v>93737.42</v>
      </c>
      <c r="G149" s="13">
        <f t="shared" si="23"/>
        <v>0</v>
      </c>
      <c r="H149" s="13">
        <f>ROUND(15500,2)</f>
        <v>15500</v>
      </c>
      <c r="I149" s="13">
        <f t="shared" si="24"/>
        <v>0</v>
      </c>
      <c r="J149" s="13">
        <f>ROUND(15500,2)</f>
        <v>15500</v>
      </c>
      <c r="K149" s="13">
        <f t="shared" si="21"/>
        <v>0</v>
      </c>
    </row>
    <row r="150" spans="1:11" ht="34.5">
      <c r="A150" s="11" t="s">
        <v>623</v>
      </c>
      <c r="B150" s="12" t="s">
        <v>725</v>
      </c>
      <c r="C150" s="12" t="s">
        <v>845</v>
      </c>
      <c r="D150" s="13">
        <f>ROUND(1165400,2)</f>
        <v>1165400</v>
      </c>
      <c r="E150" s="13">
        <f t="shared" si="22"/>
        <v>0</v>
      </c>
      <c r="F150" s="13">
        <f>ROUND(1165400,2)</f>
        <v>1165400</v>
      </c>
      <c r="G150" s="13">
        <f t="shared" si="23"/>
        <v>0</v>
      </c>
      <c r="H150" s="13">
        <f>ROUND(278209.59,2)</f>
        <v>278209.59</v>
      </c>
      <c r="I150" s="13">
        <f t="shared" si="24"/>
        <v>0</v>
      </c>
      <c r="J150" s="13">
        <f>ROUND(278209.59,2)</f>
        <v>278209.59</v>
      </c>
      <c r="K150" s="13">
        <f t="shared" si="21"/>
        <v>0</v>
      </c>
    </row>
    <row r="151" spans="1:11" ht="23.25">
      <c r="A151" s="11" t="s">
        <v>50</v>
      </c>
      <c r="B151" s="12" t="s">
        <v>906</v>
      </c>
      <c r="C151" s="12" t="s">
        <v>99</v>
      </c>
      <c r="D151" s="13">
        <f>ROUND(1071662.58,2)</f>
        <v>1071662.58</v>
      </c>
      <c r="E151" s="13">
        <f t="shared" si="22"/>
        <v>0</v>
      </c>
      <c r="F151" s="13">
        <f>ROUND(1071662.58,2)</f>
        <v>1071662.58</v>
      </c>
      <c r="G151" s="13">
        <f t="shared" si="23"/>
        <v>0</v>
      </c>
      <c r="H151" s="13">
        <f>ROUND(262709.59,2)</f>
        <v>262709.59</v>
      </c>
      <c r="I151" s="13">
        <f t="shared" si="24"/>
        <v>0</v>
      </c>
      <c r="J151" s="13">
        <f>ROUND(262709.59,2)</f>
        <v>262709.59</v>
      </c>
      <c r="K151" s="13">
        <f t="shared" si="21"/>
        <v>0</v>
      </c>
    </row>
    <row r="152" spans="1:11" ht="45.75">
      <c r="A152" s="11" t="s">
        <v>646</v>
      </c>
      <c r="B152" s="12" t="s">
        <v>634</v>
      </c>
      <c r="C152" s="12" t="s">
        <v>801</v>
      </c>
      <c r="D152" s="13">
        <f>ROUND(1060700,2)</f>
        <v>1060700</v>
      </c>
      <c r="E152" s="13">
        <f t="shared" si="22"/>
        <v>0</v>
      </c>
      <c r="F152" s="13">
        <f>ROUND(1060700,2)</f>
        <v>1060700</v>
      </c>
      <c r="G152" s="13">
        <f t="shared" si="23"/>
        <v>0</v>
      </c>
      <c r="H152" s="13">
        <f>ROUND(253194.81,2)</f>
        <v>253194.81</v>
      </c>
      <c r="I152" s="13">
        <f t="shared" si="24"/>
        <v>0</v>
      </c>
      <c r="J152" s="13">
        <f>ROUND(253194.81,2)</f>
        <v>253194.81</v>
      </c>
      <c r="K152" s="13">
        <f t="shared" si="21"/>
        <v>0</v>
      </c>
    </row>
    <row r="153" spans="1:11" ht="23.25">
      <c r="A153" s="11" t="s">
        <v>33</v>
      </c>
      <c r="B153" s="12" t="s">
        <v>36</v>
      </c>
      <c r="C153" s="12" t="s">
        <v>189</v>
      </c>
      <c r="D153" s="13">
        <f>ROUND(790200,2)</f>
        <v>790200</v>
      </c>
      <c r="E153" s="13">
        <f t="shared" si="22"/>
        <v>0</v>
      </c>
      <c r="F153" s="13">
        <f>ROUND(790200,2)</f>
        <v>790200</v>
      </c>
      <c r="G153" s="13">
        <f t="shared" si="23"/>
        <v>0</v>
      </c>
      <c r="H153" s="13">
        <f>ROUND(209385,2)</f>
        <v>209385</v>
      </c>
      <c r="I153" s="13">
        <f t="shared" si="24"/>
        <v>0</v>
      </c>
      <c r="J153" s="13">
        <f>ROUND(209385,2)</f>
        <v>209385</v>
      </c>
      <c r="K153" s="13">
        <f t="shared" si="21"/>
        <v>0</v>
      </c>
    </row>
    <row r="154" spans="1:11" ht="23.25">
      <c r="A154" s="11" t="s">
        <v>402</v>
      </c>
      <c r="B154" s="12" t="s">
        <v>714</v>
      </c>
      <c r="C154" s="12" t="s">
        <v>288</v>
      </c>
      <c r="D154" s="13">
        <f>ROUND(2800,2)</f>
        <v>2800</v>
      </c>
      <c r="E154" s="13">
        <f t="shared" si="22"/>
        <v>0</v>
      </c>
      <c r="F154" s="13">
        <f>ROUND(2800,2)</f>
        <v>2800</v>
      </c>
      <c r="G154" s="13">
        <f t="shared" si="23"/>
        <v>0</v>
      </c>
      <c r="H154" s="13">
        <f>ROUND(1600,2)</f>
        <v>1600</v>
      </c>
      <c r="I154" s="13">
        <f t="shared" si="24"/>
        <v>0</v>
      </c>
      <c r="J154" s="13">
        <f>ROUND(1600,2)</f>
        <v>1600</v>
      </c>
      <c r="K154" s="13">
        <f t="shared" si="21"/>
        <v>0</v>
      </c>
    </row>
    <row r="155" spans="1:11" ht="34.5">
      <c r="A155" s="11" t="s">
        <v>993</v>
      </c>
      <c r="B155" s="12" t="s">
        <v>146</v>
      </c>
      <c r="C155" s="12" t="s">
        <v>122</v>
      </c>
      <c r="D155" s="13">
        <f>ROUND(267700,2)</f>
        <v>267700</v>
      </c>
      <c r="E155" s="13">
        <f t="shared" si="22"/>
        <v>0</v>
      </c>
      <c r="F155" s="13">
        <f>ROUND(267700,2)</f>
        <v>267700</v>
      </c>
      <c r="G155" s="13">
        <f t="shared" si="23"/>
        <v>0</v>
      </c>
      <c r="H155" s="13">
        <f>ROUND(42209.81,2)</f>
        <v>42209.81</v>
      </c>
      <c r="I155" s="13">
        <f t="shared" si="24"/>
        <v>0</v>
      </c>
      <c r="J155" s="13">
        <f>ROUND(42209.81,2)</f>
        <v>42209.81</v>
      </c>
      <c r="K155" s="13">
        <f t="shared" si="21"/>
        <v>0</v>
      </c>
    </row>
    <row r="156" spans="1:11" ht="23.25">
      <c r="A156" s="11" t="s">
        <v>323</v>
      </c>
      <c r="B156" s="12" t="s">
        <v>390</v>
      </c>
      <c r="C156" s="12" t="s">
        <v>238</v>
      </c>
      <c r="D156" s="13">
        <f>ROUND(10462.58,2)</f>
        <v>10462.58</v>
      </c>
      <c r="E156" s="13">
        <f t="shared" si="22"/>
        <v>0</v>
      </c>
      <c r="F156" s="13">
        <f>ROUND(10462.58,2)</f>
        <v>10462.58</v>
      </c>
      <c r="G156" s="13">
        <f t="shared" si="23"/>
        <v>0</v>
      </c>
      <c r="H156" s="13">
        <f>ROUND(9442.89,2)</f>
        <v>9442.89</v>
      </c>
      <c r="I156" s="13">
        <f t="shared" si="24"/>
        <v>0</v>
      </c>
      <c r="J156" s="13">
        <f>ROUND(9442.89,2)</f>
        <v>9442.89</v>
      </c>
      <c r="K156" s="13">
        <f t="shared" si="21"/>
        <v>0</v>
      </c>
    </row>
    <row r="157" spans="1:11" ht="23.25">
      <c r="A157" s="11" t="s">
        <v>882</v>
      </c>
      <c r="B157" s="12" t="s">
        <v>837</v>
      </c>
      <c r="C157" s="12" t="s">
        <v>631</v>
      </c>
      <c r="D157" s="13">
        <f>ROUND(7500,2)</f>
        <v>7500</v>
      </c>
      <c r="E157" s="13">
        <f t="shared" si="22"/>
        <v>0</v>
      </c>
      <c r="F157" s="13">
        <f>ROUND(7500,2)</f>
        <v>7500</v>
      </c>
      <c r="G157" s="13">
        <f t="shared" si="23"/>
        <v>0</v>
      </c>
      <c r="H157" s="13">
        <f>ROUND(6480.31,2)</f>
        <v>6480.31</v>
      </c>
      <c r="I157" s="13">
        <f t="shared" si="24"/>
        <v>0</v>
      </c>
      <c r="J157" s="13">
        <f>ROUND(6480.31,2)</f>
        <v>6480.31</v>
      </c>
      <c r="K157" s="13">
        <f t="shared" si="21"/>
        <v>0</v>
      </c>
    </row>
    <row r="158" spans="1:11" ht="23.25">
      <c r="A158" s="11" t="s">
        <v>333</v>
      </c>
      <c r="B158" s="12" t="s">
        <v>431</v>
      </c>
      <c r="C158" s="12" t="s">
        <v>736</v>
      </c>
      <c r="D158" s="13">
        <f>ROUND(2962.58,2)</f>
        <v>2962.58</v>
      </c>
      <c r="E158" s="13">
        <f t="shared" si="22"/>
        <v>0</v>
      </c>
      <c r="F158" s="13">
        <f>ROUND(2962.58,2)</f>
        <v>2962.58</v>
      </c>
      <c r="G158" s="13">
        <f t="shared" si="23"/>
        <v>0</v>
      </c>
      <c r="H158" s="13">
        <f>ROUND(2962.58,2)</f>
        <v>2962.58</v>
      </c>
      <c r="I158" s="13">
        <f t="shared" si="24"/>
        <v>0</v>
      </c>
      <c r="J158" s="13">
        <f>ROUND(2962.58,2)</f>
        <v>2962.58</v>
      </c>
      <c r="K158" s="13">
        <f t="shared" si="21"/>
        <v>0</v>
      </c>
    </row>
    <row r="159" spans="1:11" ht="23.25">
      <c r="A159" s="11" t="s">
        <v>565</v>
      </c>
      <c r="B159" s="12" t="s">
        <v>607</v>
      </c>
      <c r="C159" s="12" t="s">
        <v>961</v>
      </c>
      <c r="D159" s="13">
        <f>ROUND(500,2)</f>
        <v>500</v>
      </c>
      <c r="E159" s="13">
        <f t="shared" si="22"/>
        <v>0</v>
      </c>
      <c r="F159" s="13">
        <f>ROUND(500,2)</f>
        <v>500</v>
      </c>
      <c r="G159" s="13">
        <f t="shared" si="23"/>
        <v>0</v>
      </c>
      <c r="H159" s="13">
        <f>ROUND(71.89,2)</f>
        <v>71.89</v>
      </c>
      <c r="I159" s="13">
        <f t="shared" si="24"/>
        <v>0</v>
      </c>
      <c r="J159" s="13">
        <f>ROUND(71.89,2)</f>
        <v>71.89</v>
      </c>
      <c r="K159" s="13">
        <f t="shared" si="21"/>
        <v>0</v>
      </c>
    </row>
    <row r="160" spans="1:11" ht="34.5">
      <c r="A160" s="11" t="s">
        <v>166</v>
      </c>
      <c r="B160" s="12" t="s">
        <v>955</v>
      </c>
      <c r="C160" s="12" t="s">
        <v>795</v>
      </c>
      <c r="D160" s="13">
        <f>ROUND(93737.42,2)</f>
        <v>93737.42</v>
      </c>
      <c r="E160" s="13">
        <f t="shared" si="22"/>
        <v>0</v>
      </c>
      <c r="F160" s="13">
        <f>ROUND(93737.42,2)</f>
        <v>93737.42</v>
      </c>
      <c r="G160" s="13">
        <f t="shared" si="23"/>
        <v>0</v>
      </c>
      <c r="H160" s="13">
        <f>ROUND(15500,2)</f>
        <v>15500</v>
      </c>
      <c r="I160" s="13">
        <f t="shared" si="24"/>
        <v>0</v>
      </c>
      <c r="J160" s="13">
        <f>ROUND(15500,2)</f>
        <v>15500</v>
      </c>
      <c r="K160" s="13">
        <f t="shared" si="21"/>
        <v>0</v>
      </c>
    </row>
    <row r="161" spans="1:11" ht="45.75">
      <c r="A161" s="11" t="s">
        <v>6</v>
      </c>
      <c r="B161" s="12" t="s">
        <v>969</v>
      </c>
      <c r="C161" s="12" t="s">
        <v>745</v>
      </c>
      <c r="D161" s="13">
        <f>ROUND(93737.42,2)</f>
        <v>93737.42</v>
      </c>
      <c r="E161" s="13">
        <f t="shared" si="22"/>
        <v>0</v>
      </c>
      <c r="F161" s="13">
        <f>ROUND(93737.42,2)</f>
        <v>93737.42</v>
      </c>
      <c r="G161" s="13">
        <f t="shared" si="23"/>
        <v>0</v>
      </c>
      <c r="H161" s="13">
        <f>ROUND(15500,2)</f>
        <v>15500</v>
      </c>
      <c r="I161" s="13">
        <f t="shared" si="24"/>
        <v>0</v>
      </c>
      <c r="J161" s="13">
        <f>ROUND(15500,2)</f>
        <v>15500</v>
      </c>
      <c r="K161" s="13">
        <f t="shared" si="21"/>
        <v>0</v>
      </c>
    </row>
    <row r="162" spans="1:11" ht="45.75">
      <c r="A162" s="11" t="s">
        <v>615</v>
      </c>
      <c r="B162" s="12" t="s">
        <v>775</v>
      </c>
      <c r="C162" s="12" t="s">
        <v>762</v>
      </c>
      <c r="D162" s="13">
        <f>ROUND(1273760,2)</f>
        <v>1273760</v>
      </c>
      <c r="E162" s="13">
        <f>ROUND(564101,2)</f>
        <v>564101</v>
      </c>
      <c r="F162" s="13">
        <f>ROUND(569101,2)</f>
        <v>569101</v>
      </c>
      <c r="G162" s="13">
        <f>ROUND(1268760,2)</f>
        <v>1268760</v>
      </c>
      <c r="H162" s="13">
        <f>ROUND(993726.1,2)</f>
        <v>993726.1</v>
      </c>
      <c r="I162" s="13">
        <f>ROUND(564101,2)</f>
        <v>564101</v>
      </c>
      <c r="J162" s="13">
        <f>ROUND(564101,2)</f>
        <v>564101</v>
      </c>
      <c r="K162" s="13">
        <f>ROUND(993726.1,2)</f>
        <v>993726.1</v>
      </c>
    </row>
    <row r="163" spans="1:11" ht="23.25">
      <c r="A163" s="11" t="s">
        <v>187</v>
      </c>
      <c r="B163" s="12" t="s">
        <v>857</v>
      </c>
      <c r="C163" s="12" t="s">
        <v>99</v>
      </c>
      <c r="D163" s="13">
        <f>ROUND(1273760,2)</f>
        <v>1273760</v>
      </c>
      <c r="E163" s="13">
        <f>ROUND(564101,2)</f>
        <v>564101</v>
      </c>
      <c r="F163" s="13">
        <f>ROUND(569101,2)</f>
        <v>569101</v>
      </c>
      <c r="G163" s="13">
        <f>ROUND(1268760,2)</f>
        <v>1268760</v>
      </c>
      <c r="H163" s="13">
        <f>ROUND(993726.1,2)</f>
        <v>993726.1</v>
      </c>
      <c r="I163" s="13">
        <f>ROUND(564101,2)</f>
        <v>564101</v>
      </c>
      <c r="J163" s="13">
        <f>ROUND(564101,2)</f>
        <v>564101</v>
      </c>
      <c r="K163" s="13">
        <f>ROUND(993726.1,2)</f>
        <v>993726.1</v>
      </c>
    </row>
    <row r="164" spans="1:11" ht="23.25">
      <c r="A164" s="11" t="s">
        <v>652</v>
      </c>
      <c r="B164" s="12" t="s">
        <v>343</v>
      </c>
      <c r="C164" s="12" t="s">
        <v>238</v>
      </c>
      <c r="D164" s="13">
        <f>ROUND(1273760,2)</f>
        <v>1273760</v>
      </c>
      <c r="E164" s="13">
        <f>ROUND(0,2)</f>
        <v>0</v>
      </c>
      <c r="F164" s="13">
        <f>ROUND(5000,2)</f>
        <v>5000</v>
      </c>
      <c r="G164" s="13">
        <f>ROUND(1268760,2)</f>
        <v>1268760</v>
      </c>
      <c r="H164" s="13">
        <f>ROUND(993726.1,2)</f>
        <v>993726.1</v>
      </c>
      <c r="I164" s="13">
        <f>ROUND(0,2)</f>
        <v>0</v>
      </c>
      <c r="J164" s="13">
        <f>ROUND(0,2)</f>
        <v>0</v>
      </c>
      <c r="K164" s="13">
        <f>ROUND(993726.1,2)</f>
        <v>993726.1</v>
      </c>
    </row>
    <row r="165" spans="1:11" ht="23.25">
      <c r="A165" s="11" t="s">
        <v>1014</v>
      </c>
      <c r="B165" s="12" t="s">
        <v>418</v>
      </c>
      <c r="C165" s="12" t="s">
        <v>736</v>
      </c>
      <c r="D165" s="13">
        <f>ROUND(1273760,2)</f>
        <v>1273760</v>
      </c>
      <c r="E165" s="13">
        <f>ROUND(0,2)</f>
        <v>0</v>
      </c>
      <c r="F165" s="13">
        <f>ROUND(5000,2)</f>
        <v>5000</v>
      </c>
      <c r="G165" s="13">
        <f>ROUND(1268760,2)</f>
        <v>1268760</v>
      </c>
      <c r="H165" s="13">
        <f>ROUND(993726.1,2)</f>
        <v>993726.1</v>
      </c>
      <c r="I165" s="13">
        <f>ROUND(0,2)</f>
        <v>0</v>
      </c>
      <c r="J165" s="13">
        <f>ROUND(0,2)</f>
        <v>0</v>
      </c>
      <c r="K165" s="13">
        <f>ROUND(993726.1,2)</f>
        <v>993726.1</v>
      </c>
    </row>
    <row r="166" spans="1:11" ht="34.5">
      <c r="A166" s="11" t="s">
        <v>544</v>
      </c>
      <c r="B166" s="12" t="s">
        <v>612</v>
      </c>
      <c r="C166" s="12" t="s">
        <v>215</v>
      </c>
      <c r="D166" s="13">
        <f>ROUND(0,2)</f>
        <v>0</v>
      </c>
      <c r="E166" s="13">
        <f>ROUND(564101,2)</f>
        <v>564101</v>
      </c>
      <c r="F166" s="13">
        <f>ROUND(564101,2)</f>
        <v>564101</v>
      </c>
      <c r="G166" s="13">
        <f>ROUND(0,2)</f>
        <v>0</v>
      </c>
      <c r="H166" s="13">
        <f>ROUND(0,2)</f>
        <v>0</v>
      </c>
      <c r="I166" s="13">
        <f>ROUND(564101,2)</f>
        <v>564101</v>
      </c>
      <c r="J166" s="13">
        <f>ROUND(564101,2)</f>
        <v>564101</v>
      </c>
      <c r="K166" s="13">
        <f>ROUND(0,2)</f>
        <v>0</v>
      </c>
    </row>
    <row r="167" spans="1:11" ht="68.25">
      <c r="A167" s="11" t="s">
        <v>72</v>
      </c>
      <c r="B167" s="12" t="s">
        <v>13</v>
      </c>
      <c r="C167" s="12" t="s">
        <v>1033</v>
      </c>
      <c r="D167" s="13">
        <f>ROUND(0,2)</f>
        <v>0</v>
      </c>
      <c r="E167" s="13">
        <f>ROUND(564101,2)</f>
        <v>564101</v>
      </c>
      <c r="F167" s="13">
        <f>ROUND(564101,2)</f>
        <v>564101</v>
      </c>
      <c r="G167" s="13">
        <f>ROUND(0,2)</f>
        <v>0</v>
      </c>
      <c r="H167" s="13">
        <f>ROUND(0,2)</f>
        <v>0</v>
      </c>
      <c r="I167" s="13">
        <f>ROUND(564101,2)</f>
        <v>564101</v>
      </c>
      <c r="J167" s="13">
        <f>ROUND(564101,2)</f>
        <v>564101</v>
      </c>
      <c r="K167" s="13">
        <f>ROUND(0,2)</f>
        <v>0</v>
      </c>
    </row>
    <row r="168" spans="1:11" ht="34.5">
      <c r="A168" s="11" t="s">
        <v>382</v>
      </c>
      <c r="B168" s="12" t="s">
        <v>440</v>
      </c>
      <c r="C168" s="12" t="s">
        <v>226</v>
      </c>
      <c r="D168" s="13">
        <f>ROUND(40148592,2)</f>
        <v>40148592</v>
      </c>
      <c r="E168" s="13">
        <f>ROUND(16478700,2)</f>
        <v>16478700</v>
      </c>
      <c r="F168" s="13">
        <f>ROUND(17045200,2)</f>
        <v>17045200</v>
      </c>
      <c r="G168" s="13">
        <f>ROUND(39582092,2)</f>
        <v>39582092</v>
      </c>
      <c r="H168" s="13">
        <f>ROUND(4295640.73,2)</f>
        <v>4295640.73</v>
      </c>
      <c r="I168" s="13">
        <f aca="true" t="shared" si="25" ref="I168:I199">ROUND(0,2)</f>
        <v>0</v>
      </c>
      <c r="J168" s="13">
        <f>ROUND(561968,2)</f>
        <v>561968</v>
      </c>
      <c r="K168" s="13">
        <f>ROUND(3733672.73,2)</f>
        <v>3733672.73</v>
      </c>
    </row>
    <row r="169" spans="1:11" ht="23.25">
      <c r="A169" s="11" t="s">
        <v>923</v>
      </c>
      <c r="B169" s="12" t="s">
        <v>8</v>
      </c>
      <c r="C169" s="12" t="s">
        <v>99</v>
      </c>
      <c r="D169" s="13">
        <f>ROUND(18014305,2)</f>
        <v>18014305</v>
      </c>
      <c r="E169" s="13">
        <f>ROUND(16478700,2)</f>
        <v>16478700</v>
      </c>
      <c r="F169" s="13">
        <f>ROUND(16645200,2)</f>
        <v>16645200</v>
      </c>
      <c r="G169" s="13">
        <f>ROUND(17847805,2)</f>
        <v>17847805</v>
      </c>
      <c r="H169" s="13">
        <f>ROUND(3221535.35,2)</f>
        <v>3221535.35</v>
      </c>
      <c r="I169" s="13">
        <f t="shared" si="25"/>
        <v>0</v>
      </c>
      <c r="J169" s="13">
        <f>ROUND(166500,2)</f>
        <v>166500</v>
      </c>
      <c r="K169" s="13">
        <f>ROUND(3055035.35,2)</f>
        <v>3055035.35</v>
      </c>
    </row>
    <row r="170" spans="1:11" ht="23.25">
      <c r="A170" s="11" t="s">
        <v>449</v>
      </c>
      <c r="B170" s="12" t="s">
        <v>510</v>
      </c>
      <c r="C170" s="12" t="s">
        <v>238</v>
      </c>
      <c r="D170" s="13">
        <f>ROUND(18014305,2)</f>
        <v>18014305</v>
      </c>
      <c r="E170" s="13">
        <f aca="true" t="shared" si="26" ref="E170:E175">ROUND(0,2)</f>
        <v>0</v>
      </c>
      <c r="F170" s="13">
        <f>ROUND(166500,2)</f>
        <v>166500</v>
      </c>
      <c r="G170" s="13">
        <f>ROUND(17847805,2)</f>
        <v>17847805</v>
      </c>
      <c r="H170" s="13">
        <f>ROUND(3221535.35,2)</f>
        <v>3221535.35</v>
      </c>
      <c r="I170" s="13">
        <f t="shared" si="25"/>
        <v>0</v>
      </c>
      <c r="J170" s="13">
        <f>ROUND(166500,2)</f>
        <v>166500</v>
      </c>
      <c r="K170" s="13">
        <f>ROUND(3055035.35,2)</f>
        <v>3055035.35</v>
      </c>
    </row>
    <row r="171" spans="1:11" ht="23.25">
      <c r="A171" s="11" t="s">
        <v>426</v>
      </c>
      <c r="B171" s="12" t="s">
        <v>696</v>
      </c>
      <c r="C171" s="12" t="s">
        <v>454</v>
      </c>
      <c r="D171" s="13">
        <f>ROUND(20000,2)</f>
        <v>20000</v>
      </c>
      <c r="E171" s="13">
        <f t="shared" si="26"/>
        <v>0</v>
      </c>
      <c r="F171" s="13">
        <f>ROUND(0,2)</f>
        <v>0</v>
      </c>
      <c r="G171" s="13">
        <f>ROUND(20000,2)</f>
        <v>20000</v>
      </c>
      <c r="H171" s="13">
        <f>ROUND(0,2)</f>
        <v>0</v>
      </c>
      <c r="I171" s="13">
        <f t="shared" si="25"/>
        <v>0</v>
      </c>
      <c r="J171" s="13">
        <f>ROUND(0,2)</f>
        <v>0</v>
      </c>
      <c r="K171" s="13">
        <f>ROUND(0,2)</f>
        <v>0</v>
      </c>
    </row>
    <row r="172" spans="1:11" ht="23.25">
      <c r="A172" s="11" t="s">
        <v>17</v>
      </c>
      <c r="B172" s="12" t="s">
        <v>231</v>
      </c>
      <c r="C172" s="12" t="s">
        <v>866</v>
      </c>
      <c r="D172" s="13">
        <f>ROUND(3886410,2)</f>
        <v>3886410</v>
      </c>
      <c r="E172" s="13">
        <f t="shared" si="26"/>
        <v>0</v>
      </c>
      <c r="F172" s="13">
        <f>ROUND(0,2)</f>
        <v>0</v>
      </c>
      <c r="G172" s="13">
        <f>ROUND(3886410,2)</f>
        <v>3886410</v>
      </c>
      <c r="H172" s="13">
        <f>ROUND(1163923.33,2)</f>
        <v>1163923.33</v>
      </c>
      <c r="I172" s="13">
        <f t="shared" si="25"/>
        <v>0</v>
      </c>
      <c r="J172" s="13">
        <f>ROUND(0,2)</f>
        <v>0</v>
      </c>
      <c r="K172" s="13">
        <f>ROUND(1163923.33,2)</f>
        <v>1163923.33</v>
      </c>
    </row>
    <row r="173" spans="1:11" ht="34.5">
      <c r="A173" s="11" t="s">
        <v>602</v>
      </c>
      <c r="B173" s="12" t="s">
        <v>625</v>
      </c>
      <c r="C173" s="12" t="s">
        <v>548</v>
      </c>
      <c r="D173" s="13">
        <f>ROUND(30000,2)</f>
        <v>30000</v>
      </c>
      <c r="E173" s="13">
        <f t="shared" si="26"/>
        <v>0</v>
      </c>
      <c r="F173" s="13">
        <f>ROUND(0,2)</f>
        <v>0</v>
      </c>
      <c r="G173" s="13">
        <f>ROUND(30000,2)</f>
        <v>30000</v>
      </c>
      <c r="H173" s="13">
        <f>ROUND(0,2)</f>
        <v>0</v>
      </c>
      <c r="I173" s="13">
        <f t="shared" si="25"/>
        <v>0</v>
      </c>
      <c r="J173" s="13">
        <f>ROUND(0,2)</f>
        <v>0</v>
      </c>
      <c r="K173" s="13">
        <f>ROUND(0,2)</f>
        <v>0</v>
      </c>
    </row>
    <row r="174" spans="1:11" ht="34.5">
      <c r="A174" s="11" t="s">
        <v>153</v>
      </c>
      <c r="B174" s="12" t="s">
        <v>54</v>
      </c>
      <c r="C174" s="12" t="s">
        <v>695</v>
      </c>
      <c r="D174" s="13">
        <f>ROUND(12773369,2)</f>
        <v>12773369</v>
      </c>
      <c r="E174" s="13">
        <f t="shared" si="26"/>
        <v>0</v>
      </c>
      <c r="F174" s="13">
        <f>ROUND(0,2)</f>
        <v>0</v>
      </c>
      <c r="G174" s="13">
        <f>ROUND(12773369,2)</f>
        <v>12773369</v>
      </c>
      <c r="H174" s="13">
        <f>ROUND(920649.23,2)</f>
        <v>920649.23</v>
      </c>
      <c r="I174" s="13">
        <f t="shared" si="25"/>
        <v>0</v>
      </c>
      <c r="J174" s="13">
        <f>ROUND(0,2)</f>
        <v>0</v>
      </c>
      <c r="K174" s="13">
        <f>ROUND(920649.23,2)</f>
        <v>920649.23</v>
      </c>
    </row>
    <row r="175" spans="1:11" ht="23.25">
      <c r="A175" s="11" t="s">
        <v>776</v>
      </c>
      <c r="B175" s="12" t="s">
        <v>737</v>
      </c>
      <c r="C175" s="12" t="s">
        <v>736</v>
      </c>
      <c r="D175" s="13">
        <f>ROUND(1304526,2)</f>
        <v>1304526</v>
      </c>
      <c r="E175" s="13">
        <f t="shared" si="26"/>
        <v>0</v>
      </c>
      <c r="F175" s="13">
        <f>ROUND(166500,2)</f>
        <v>166500</v>
      </c>
      <c r="G175" s="13">
        <f>ROUND(1138026,2)</f>
        <v>1138026</v>
      </c>
      <c r="H175" s="13">
        <f>ROUND(1136962.79,2)</f>
        <v>1136962.79</v>
      </c>
      <c r="I175" s="13">
        <f t="shared" si="25"/>
        <v>0</v>
      </c>
      <c r="J175" s="13">
        <f>ROUND(166500,2)</f>
        <v>166500</v>
      </c>
      <c r="K175" s="13">
        <f>ROUND(970462.79,2)</f>
        <v>970462.79</v>
      </c>
    </row>
    <row r="176" spans="1:11" ht="34.5">
      <c r="A176" s="11" t="s">
        <v>826</v>
      </c>
      <c r="B176" s="12" t="s">
        <v>290</v>
      </c>
      <c r="C176" s="12" t="s">
        <v>215</v>
      </c>
      <c r="D176" s="13">
        <f>ROUND(0,2)</f>
        <v>0</v>
      </c>
      <c r="E176" s="13">
        <f>ROUND(16478700,2)</f>
        <v>16478700</v>
      </c>
      <c r="F176" s="13">
        <f>ROUND(16478700,2)</f>
        <v>16478700</v>
      </c>
      <c r="G176" s="13">
        <f>ROUND(0,2)</f>
        <v>0</v>
      </c>
      <c r="H176" s="13">
        <f>ROUND(0,2)</f>
        <v>0</v>
      </c>
      <c r="I176" s="13">
        <f t="shared" si="25"/>
        <v>0</v>
      </c>
      <c r="J176" s="13">
        <f>ROUND(0,2)</f>
        <v>0</v>
      </c>
      <c r="K176" s="13">
        <f>ROUND(0,2)</f>
        <v>0</v>
      </c>
    </row>
    <row r="177" spans="1:11" ht="68.25">
      <c r="A177" s="11" t="s">
        <v>339</v>
      </c>
      <c r="B177" s="12" t="s">
        <v>860</v>
      </c>
      <c r="C177" s="12" t="s">
        <v>1033</v>
      </c>
      <c r="D177" s="13">
        <f>ROUND(0,2)</f>
        <v>0</v>
      </c>
      <c r="E177" s="13">
        <f>ROUND(16478700,2)</f>
        <v>16478700</v>
      </c>
      <c r="F177" s="13">
        <f>ROUND(16478700,2)</f>
        <v>16478700</v>
      </c>
      <c r="G177" s="13">
        <f>ROUND(0,2)</f>
        <v>0</v>
      </c>
      <c r="H177" s="13">
        <f>ROUND(0,2)</f>
        <v>0</v>
      </c>
      <c r="I177" s="13">
        <f t="shared" si="25"/>
        <v>0</v>
      </c>
      <c r="J177" s="13">
        <f>ROUND(0,2)</f>
        <v>0</v>
      </c>
      <c r="K177" s="13">
        <f>ROUND(0,2)</f>
        <v>0</v>
      </c>
    </row>
    <row r="178" spans="1:11" ht="34.5">
      <c r="A178" s="11" t="s">
        <v>408</v>
      </c>
      <c r="B178" s="12" t="s">
        <v>208</v>
      </c>
      <c r="C178" s="12" t="s">
        <v>795</v>
      </c>
      <c r="D178" s="13">
        <f>ROUND(22134287,2)</f>
        <v>22134287</v>
      </c>
      <c r="E178" s="13">
        <f aca="true" t="shared" si="27" ref="E178:E204">ROUND(0,2)</f>
        <v>0</v>
      </c>
      <c r="F178" s="13">
        <f>ROUND(400000,2)</f>
        <v>400000</v>
      </c>
      <c r="G178" s="13">
        <f>ROUND(21734287,2)</f>
        <v>21734287</v>
      </c>
      <c r="H178" s="13">
        <f>ROUND(1074105.38,2)</f>
        <v>1074105.38</v>
      </c>
      <c r="I178" s="13">
        <f t="shared" si="25"/>
        <v>0</v>
      </c>
      <c r="J178" s="13">
        <f>ROUND(395468,2)</f>
        <v>395468</v>
      </c>
      <c r="K178" s="13">
        <f>ROUND(678637.38,2)</f>
        <v>678637.38</v>
      </c>
    </row>
    <row r="179" spans="1:11" ht="34.5">
      <c r="A179" s="11" t="s">
        <v>551</v>
      </c>
      <c r="B179" s="12" t="s">
        <v>468</v>
      </c>
      <c r="C179" s="12" t="s">
        <v>953</v>
      </c>
      <c r="D179" s="13">
        <f>ROUND(20538220,2)</f>
        <v>20538220</v>
      </c>
      <c r="E179" s="13">
        <f t="shared" si="27"/>
        <v>0</v>
      </c>
      <c r="F179" s="13">
        <f>ROUND(400000,2)</f>
        <v>400000</v>
      </c>
      <c r="G179" s="13">
        <f>ROUND(20138220,2)</f>
        <v>20138220</v>
      </c>
      <c r="H179" s="13">
        <f>ROUND(565827.83,2)</f>
        <v>565827.83</v>
      </c>
      <c r="I179" s="13">
        <f t="shared" si="25"/>
        <v>0</v>
      </c>
      <c r="J179" s="13">
        <f>ROUND(395468,2)</f>
        <v>395468</v>
      </c>
      <c r="K179" s="13">
        <f>ROUND(170359.83,2)</f>
        <v>170359.83</v>
      </c>
    </row>
    <row r="180" spans="1:11" ht="45.75">
      <c r="A180" s="11" t="s">
        <v>240</v>
      </c>
      <c r="B180" s="12" t="s">
        <v>190</v>
      </c>
      <c r="C180" s="12" t="s">
        <v>745</v>
      </c>
      <c r="D180" s="13">
        <f>ROUND(1596067,2)</f>
        <v>1596067</v>
      </c>
      <c r="E180" s="13">
        <f t="shared" si="27"/>
        <v>0</v>
      </c>
      <c r="F180" s="13">
        <f aca="true" t="shared" si="28" ref="F180:F204">ROUND(0,2)</f>
        <v>0</v>
      </c>
      <c r="G180" s="13">
        <f>ROUND(1596067,2)</f>
        <v>1596067</v>
      </c>
      <c r="H180" s="13">
        <f>ROUND(508277.55,2)</f>
        <v>508277.55</v>
      </c>
      <c r="I180" s="13">
        <f t="shared" si="25"/>
        <v>0</v>
      </c>
      <c r="J180" s="13">
        <f aca="true" t="shared" si="29" ref="J180:J204">ROUND(0,2)</f>
        <v>0</v>
      </c>
      <c r="K180" s="13">
        <f>ROUND(508277.55,2)</f>
        <v>508277.55</v>
      </c>
    </row>
    <row r="181" spans="1:11" ht="23.25">
      <c r="A181" s="11" t="s">
        <v>728</v>
      </c>
      <c r="B181" s="12" t="s">
        <v>161</v>
      </c>
      <c r="C181" s="12" t="s">
        <v>409</v>
      </c>
      <c r="D181" s="13">
        <f>ROUND(85500,2)</f>
        <v>85500</v>
      </c>
      <c r="E181" s="13">
        <f t="shared" si="27"/>
        <v>0</v>
      </c>
      <c r="F181" s="13">
        <f t="shared" si="28"/>
        <v>0</v>
      </c>
      <c r="G181" s="13">
        <f>ROUND(85500,2)</f>
        <v>85500</v>
      </c>
      <c r="H181" s="13">
        <f>ROUND(0,2)</f>
        <v>0</v>
      </c>
      <c r="I181" s="13">
        <f t="shared" si="25"/>
        <v>0</v>
      </c>
      <c r="J181" s="13">
        <f t="shared" si="29"/>
        <v>0</v>
      </c>
      <c r="K181" s="13">
        <f>ROUND(0,2)</f>
        <v>0</v>
      </c>
    </row>
    <row r="182" spans="1:11" ht="23.25">
      <c r="A182" s="11" t="s">
        <v>143</v>
      </c>
      <c r="B182" s="12" t="s">
        <v>279</v>
      </c>
      <c r="C182" s="12" t="s">
        <v>99</v>
      </c>
      <c r="D182" s="13">
        <f>ROUND(85500,2)</f>
        <v>85500</v>
      </c>
      <c r="E182" s="13">
        <f t="shared" si="27"/>
        <v>0</v>
      </c>
      <c r="F182" s="13">
        <f t="shared" si="28"/>
        <v>0</v>
      </c>
      <c r="G182" s="13">
        <f>ROUND(85500,2)</f>
        <v>85500</v>
      </c>
      <c r="H182" s="13">
        <f>ROUND(0,2)</f>
        <v>0</v>
      </c>
      <c r="I182" s="13">
        <f t="shared" si="25"/>
        <v>0</v>
      </c>
      <c r="J182" s="13">
        <f t="shared" si="29"/>
        <v>0</v>
      </c>
      <c r="K182" s="13">
        <f>ROUND(0,2)</f>
        <v>0</v>
      </c>
    </row>
    <row r="183" spans="1:11" ht="23.25">
      <c r="A183" s="11" t="s">
        <v>447</v>
      </c>
      <c r="B183" s="12" t="s">
        <v>817</v>
      </c>
      <c r="C183" s="12" t="s">
        <v>238</v>
      </c>
      <c r="D183" s="13">
        <f>ROUND(85500,2)</f>
        <v>85500</v>
      </c>
      <c r="E183" s="13">
        <f t="shared" si="27"/>
        <v>0</v>
      </c>
      <c r="F183" s="13">
        <f t="shared" si="28"/>
        <v>0</v>
      </c>
      <c r="G183" s="13">
        <f>ROUND(85500,2)</f>
        <v>85500</v>
      </c>
      <c r="H183" s="13">
        <f>ROUND(0,2)</f>
        <v>0</v>
      </c>
      <c r="I183" s="13">
        <f t="shared" si="25"/>
        <v>0</v>
      </c>
      <c r="J183" s="13">
        <f t="shared" si="29"/>
        <v>0</v>
      </c>
      <c r="K183" s="13">
        <f>ROUND(0,2)</f>
        <v>0</v>
      </c>
    </row>
    <row r="184" spans="1:11" ht="34.5">
      <c r="A184" s="11" t="s">
        <v>927</v>
      </c>
      <c r="B184" s="12" t="s">
        <v>298</v>
      </c>
      <c r="C184" s="12" t="s">
        <v>695</v>
      </c>
      <c r="D184" s="13">
        <f>ROUND(85500,2)</f>
        <v>85500</v>
      </c>
      <c r="E184" s="13">
        <f t="shared" si="27"/>
        <v>0</v>
      </c>
      <c r="F184" s="13">
        <f t="shared" si="28"/>
        <v>0</v>
      </c>
      <c r="G184" s="13">
        <f>ROUND(85500,2)</f>
        <v>85500</v>
      </c>
      <c r="H184" s="13">
        <f>ROUND(0,2)</f>
        <v>0</v>
      </c>
      <c r="I184" s="13">
        <f t="shared" si="25"/>
        <v>0</v>
      </c>
      <c r="J184" s="13">
        <f t="shared" si="29"/>
        <v>0</v>
      </c>
      <c r="K184" s="13">
        <f>ROUND(0,2)</f>
        <v>0</v>
      </c>
    </row>
    <row r="185" spans="1:11" ht="23.25">
      <c r="A185" s="11" t="s">
        <v>75</v>
      </c>
      <c r="B185" s="12" t="s">
        <v>920</v>
      </c>
      <c r="C185" s="12" t="s">
        <v>374</v>
      </c>
      <c r="D185" s="13">
        <f>ROUND(3383600,2)</f>
        <v>3383600</v>
      </c>
      <c r="E185" s="13">
        <f t="shared" si="27"/>
        <v>0</v>
      </c>
      <c r="F185" s="13">
        <f t="shared" si="28"/>
        <v>0</v>
      </c>
      <c r="G185" s="13">
        <f>ROUND(3383600,2)</f>
        <v>3383600</v>
      </c>
      <c r="H185" s="13">
        <f>ROUND(108250,2)</f>
        <v>108250</v>
      </c>
      <c r="I185" s="13">
        <f t="shared" si="25"/>
        <v>0</v>
      </c>
      <c r="J185" s="13">
        <f t="shared" si="29"/>
        <v>0</v>
      </c>
      <c r="K185" s="13">
        <f>ROUND(108250,2)</f>
        <v>108250</v>
      </c>
    </row>
    <row r="186" spans="1:11" ht="23.25">
      <c r="A186" s="11" t="s">
        <v>708</v>
      </c>
      <c r="B186" s="12" t="s">
        <v>585</v>
      </c>
      <c r="C186" s="12" t="s">
        <v>99</v>
      </c>
      <c r="D186" s="13">
        <f>ROUND(362000,2)</f>
        <v>362000</v>
      </c>
      <c r="E186" s="13">
        <f t="shared" si="27"/>
        <v>0</v>
      </c>
      <c r="F186" s="13">
        <f t="shared" si="28"/>
        <v>0</v>
      </c>
      <c r="G186" s="13">
        <f>ROUND(362000,2)</f>
        <v>362000</v>
      </c>
      <c r="H186" s="13">
        <f>ROUND(0,2)</f>
        <v>0</v>
      </c>
      <c r="I186" s="13">
        <f t="shared" si="25"/>
        <v>0</v>
      </c>
      <c r="J186" s="13">
        <f t="shared" si="29"/>
        <v>0</v>
      </c>
      <c r="K186" s="13">
        <f>ROUND(0,2)</f>
        <v>0</v>
      </c>
    </row>
    <row r="187" spans="1:11" ht="23.25">
      <c r="A187" s="11" t="s">
        <v>130</v>
      </c>
      <c r="B187" s="12" t="s">
        <v>43</v>
      </c>
      <c r="C187" s="12" t="s">
        <v>238</v>
      </c>
      <c r="D187" s="13">
        <f>ROUND(362000,2)</f>
        <v>362000</v>
      </c>
      <c r="E187" s="13">
        <f t="shared" si="27"/>
        <v>0</v>
      </c>
      <c r="F187" s="13">
        <f t="shared" si="28"/>
        <v>0</v>
      </c>
      <c r="G187" s="13">
        <f>ROUND(362000,2)</f>
        <v>362000</v>
      </c>
      <c r="H187" s="13">
        <f>ROUND(0,2)</f>
        <v>0</v>
      </c>
      <c r="I187" s="13">
        <f t="shared" si="25"/>
        <v>0</v>
      </c>
      <c r="J187" s="13">
        <f t="shared" si="29"/>
        <v>0</v>
      </c>
      <c r="K187" s="13">
        <f>ROUND(0,2)</f>
        <v>0</v>
      </c>
    </row>
    <row r="188" spans="1:11" ht="34.5">
      <c r="A188" s="11" t="s">
        <v>897</v>
      </c>
      <c r="B188" s="12" t="s">
        <v>80</v>
      </c>
      <c r="C188" s="12" t="s">
        <v>548</v>
      </c>
      <c r="D188" s="13">
        <f>ROUND(10000,2)</f>
        <v>10000</v>
      </c>
      <c r="E188" s="13">
        <f t="shared" si="27"/>
        <v>0</v>
      </c>
      <c r="F188" s="13">
        <f t="shared" si="28"/>
        <v>0</v>
      </c>
      <c r="G188" s="13">
        <f>ROUND(10000,2)</f>
        <v>10000</v>
      </c>
      <c r="H188" s="13">
        <f>ROUND(0,2)</f>
        <v>0</v>
      </c>
      <c r="I188" s="13">
        <f t="shared" si="25"/>
        <v>0</v>
      </c>
      <c r="J188" s="13">
        <f t="shared" si="29"/>
        <v>0</v>
      </c>
      <c r="K188" s="13">
        <f>ROUND(0,2)</f>
        <v>0</v>
      </c>
    </row>
    <row r="189" spans="1:11" ht="34.5">
      <c r="A189" s="11" t="s">
        <v>399</v>
      </c>
      <c r="B189" s="12" t="s">
        <v>529</v>
      </c>
      <c r="C189" s="12" t="s">
        <v>695</v>
      </c>
      <c r="D189" s="13">
        <f>ROUND(292000,2)</f>
        <v>292000</v>
      </c>
      <c r="E189" s="13">
        <f t="shared" si="27"/>
        <v>0</v>
      </c>
      <c r="F189" s="13">
        <f t="shared" si="28"/>
        <v>0</v>
      </c>
      <c r="G189" s="13">
        <f>ROUND(292000,2)</f>
        <v>292000</v>
      </c>
      <c r="H189" s="13">
        <f>ROUND(0,2)</f>
        <v>0</v>
      </c>
      <c r="I189" s="13">
        <f t="shared" si="25"/>
        <v>0</v>
      </c>
      <c r="J189" s="13">
        <f t="shared" si="29"/>
        <v>0</v>
      </c>
      <c r="K189" s="13">
        <f>ROUND(0,2)</f>
        <v>0</v>
      </c>
    </row>
    <row r="190" spans="1:11" ht="23.25">
      <c r="A190" s="11" t="s">
        <v>1008</v>
      </c>
      <c r="B190" s="12" t="s">
        <v>229</v>
      </c>
      <c r="C190" s="12" t="s">
        <v>736</v>
      </c>
      <c r="D190" s="13">
        <f>ROUND(60000,2)</f>
        <v>60000</v>
      </c>
      <c r="E190" s="13">
        <f t="shared" si="27"/>
        <v>0</v>
      </c>
      <c r="F190" s="13">
        <f t="shared" si="28"/>
        <v>0</v>
      </c>
      <c r="G190" s="13">
        <f>ROUND(60000,2)</f>
        <v>60000</v>
      </c>
      <c r="H190" s="13">
        <f>ROUND(0,2)</f>
        <v>0</v>
      </c>
      <c r="I190" s="13">
        <f t="shared" si="25"/>
        <v>0</v>
      </c>
      <c r="J190" s="13">
        <f t="shared" si="29"/>
        <v>0</v>
      </c>
      <c r="K190" s="13">
        <f>ROUND(0,2)</f>
        <v>0</v>
      </c>
    </row>
    <row r="191" spans="1:11" ht="34.5">
      <c r="A191" s="11" t="s">
        <v>679</v>
      </c>
      <c r="B191" s="12" t="s">
        <v>754</v>
      </c>
      <c r="C191" s="12" t="s">
        <v>795</v>
      </c>
      <c r="D191" s="13">
        <f>ROUND(3021600,2)</f>
        <v>3021600</v>
      </c>
      <c r="E191" s="13">
        <f t="shared" si="27"/>
        <v>0</v>
      </c>
      <c r="F191" s="13">
        <f t="shared" si="28"/>
        <v>0</v>
      </c>
      <c r="G191" s="13">
        <f>ROUND(3021600,2)</f>
        <v>3021600</v>
      </c>
      <c r="H191" s="13">
        <f>ROUND(108250,2)</f>
        <v>108250</v>
      </c>
      <c r="I191" s="13">
        <f t="shared" si="25"/>
        <v>0</v>
      </c>
      <c r="J191" s="13">
        <f t="shared" si="29"/>
        <v>0</v>
      </c>
      <c r="K191" s="13">
        <f>ROUND(108250,2)</f>
        <v>108250</v>
      </c>
    </row>
    <row r="192" spans="1:11" ht="34.5">
      <c r="A192" s="11" t="s">
        <v>759</v>
      </c>
      <c r="B192" s="12" t="s">
        <v>1011</v>
      </c>
      <c r="C192" s="12" t="s">
        <v>953</v>
      </c>
      <c r="D192" s="13">
        <f>ROUND(2811600,2)</f>
        <v>2811600</v>
      </c>
      <c r="E192" s="13">
        <f t="shared" si="27"/>
        <v>0</v>
      </c>
      <c r="F192" s="13">
        <f t="shared" si="28"/>
        <v>0</v>
      </c>
      <c r="G192" s="13">
        <f>ROUND(2811600,2)</f>
        <v>2811600</v>
      </c>
      <c r="H192" s="13">
        <f>ROUND(8250,2)</f>
        <v>8250</v>
      </c>
      <c r="I192" s="13">
        <f t="shared" si="25"/>
        <v>0</v>
      </c>
      <c r="J192" s="13">
        <f t="shared" si="29"/>
        <v>0</v>
      </c>
      <c r="K192" s="13">
        <f>ROUND(8250,2)</f>
        <v>8250</v>
      </c>
    </row>
    <row r="193" spans="1:11" ht="45.75">
      <c r="A193" s="11" t="s">
        <v>3</v>
      </c>
      <c r="B193" s="12" t="s">
        <v>772</v>
      </c>
      <c r="C193" s="12" t="s">
        <v>745</v>
      </c>
      <c r="D193" s="13">
        <f>ROUND(210000,2)</f>
        <v>210000</v>
      </c>
      <c r="E193" s="13">
        <f t="shared" si="27"/>
        <v>0</v>
      </c>
      <c r="F193" s="13">
        <f t="shared" si="28"/>
        <v>0</v>
      </c>
      <c r="G193" s="13">
        <f>ROUND(210000,2)</f>
        <v>210000</v>
      </c>
      <c r="H193" s="13">
        <f>ROUND(100000,2)</f>
        <v>100000</v>
      </c>
      <c r="I193" s="13">
        <f t="shared" si="25"/>
        <v>0</v>
      </c>
      <c r="J193" s="13">
        <f t="shared" si="29"/>
        <v>0</v>
      </c>
      <c r="K193" s="13">
        <f>ROUND(100000,2)</f>
        <v>100000</v>
      </c>
    </row>
    <row r="194" spans="1:11" ht="23.25">
      <c r="A194" s="11" t="s">
        <v>590</v>
      </c>
      <c r="B194" s="12" t="s">
        <v>669</v>
      </c>
      <c r="C194" s="12" t="s">
        <v>794</v>
      </c>
      <c r="D194" s="13">
        <f>ROUND(18478316,2)</f>
        <v>18478316</v>
      </c>
      <c r="E194" s="13">
        <f t="shared" si="27"/>
        <v>0</v>
      </c>
      <c r="F194" s="13">
        <f t="shared" si="28"/>
        <v>0</v>
      </c>
      <c r="G194" s="13">
        <f>ROUND(18478316,2)</f>
        <v>18478316</v>
      </c>
      <c r="H194" s="13">
        <f>ROUND(3002021.76,2)</f>
        <v>3002021.76</v>
      </c>
      <c r="I194" s="13">
        <f t="shared" si="25"/>
        <v>0</v>
      </c>
      <c r="J194" s="13">
        <f t="shared" si="29"/>
        <v>0</v>
      </c>
      <c r="K194" s="13">
        <f>ROUND(3002021.76,2)</f>
        <v>3002021.76</v>
      </c>
    </row>
    <row r="195" spans="1:11" ht="23.25">
      <c r="A195" s="11" t="s">
        <v>104</v>
      </c>
      <c r="B195" s="12" t="s">
        <v>828</v>
      </c>
      <c r="C195" s="12" t="s">
        <v>99</v>
      </c>
      <c r="D195" s="13">
        <f>ROUND(16845329,2)</f>
        <v>16845329</v>
      </c>
      <c r="E195" s="13">
        <f t="shared" si="27"/>
        <v>0</v>
      </c>
      <c r="F195" s="13">
        <f t="shared" si="28"/>
        <v>0</v>
      </c>
      <c r="G195" s="13">
        <f>ROUND(16845329,2)</f>
        <v>16845329</v>
      </c>
      <c r="H195" s="13">
        <f>ROUND(2521824.21,2)</f>
        <v>2521824.21</v>
      </c>
      <c r="I195" s="13">
        <f t="shared" si="25"/>
        <v>0</v>
      </c>
      <c r="J195" s="13">
        <f t="shared" si="29"/>
        <v>0</v>
      </c>
      <c r="K195" s="13">
        <f>ROUND(2521824.21,2)</f>
        <v>2521824.21</v>
      </c>
    </row>
    <row r="196" spans="1:11" ht="23.25">
      <c r="A196" s="11" t="s">
        <v>878</v>
      </c>
      <c r="B196" s="12" t="s">
        <v>302</v>
      </c>
      <c r="C196" s="12" t="s">
        <v>238</v>
      </c>
      <c r="D196" s="13">
        <f>ROUND(16845329,2)</f>
        <v>16845329</v>
      </c>
      <c r="E196" s="13">
        <f t="shared" si="27"/>
        <v>0</v>
      </c>
      <c r="F196" s="13">
        <f t="shared" si="28"/>
        <v>0</v>
      </c>
      <c r="G196" s="13">
        <f>ROUND(16845329,2)</f>
        <v>16845329</v>
      </c>
      <c r="H196" s="13">
        <f>ROUND(2521824.21,2)</f>
        <v>2521824.21</v>
      </c>
      <c r="I196" s="13">
        <f t="shared" si="25"/>
        <v>0</v>
      </c>
      <c r="J196" s="13">
        <f t="shared" si="29"/>
        <v>0</v>
      </c>
      <c r="K196" s="13">
        <f>ROUND(2521824.21,2)</f>
        <v>2521824.21</v>
      </c>
    </row>
    <row r="197" spans="1:11" ht="23.25">
      <c r="A197" s="11" t="s">
        <v>926</v>
      </c>
      <c r="B197" s="12" t="s">
        <v>415</v>
      </c>
      <c r="C197" s="12" t="s">
        <v>454</v>
      </c>
      <c r="D197" s="13">
        <f>ROUND(20000,2)</f>
        <v>20000</v>
      </c>
      <c r="E197" s="13">
        <f t="shared" si="27"/>
        <v>0</v>
      </c>
      <c r="F197" s="13">
        <f t="shared" si="28"/>
        <v>0</v>
      </c>
      <c r="G197" s="13">
        <f>ROUND(20000,2)</f>
        <v>20000</v>
      </c>
      <c r="H197" s="13">
        <f>ROUND(0,2)</f>
        <v>0</v>
      </c>
      <c r="I197" s="13">
        <f t="shared" si="25"/>
        <v>0</v>
      </c>
      <c r="J197" s="13">
        <f t="shared" si="29"/>
        <v>0</v>
      </c>
      <c r="K197" s="13">
        <f>ROUND(0,2)</f>
        <v>0</v>
      </c>
    </row>
    <row r="198" spans="1:11" ht="23.25">
      <c r="A198" s="11" t="s">
        <v>471</v>
      </c>
      <c r="B198" s="12" t="s">
        <v>974</v>
      </c>
      <c r="C198" s="12" t="s">
        <v>866</v>
      </c>
      <c r="D198" s="13">
        <f>ROUND(3886410,2)</f>
        <v>3886410</v>
      </c>
      <c r="E198" s="13">
        <f t="shared" si="27"/>
        <v>0</v>
      </c>
      <c r="F198" s="13">
        <f t="shared" si="28"/>
        <v>0</v>
      </c>
      <c r="G198" s="13">
        <f>ROUND(3886410,2)</f>
        <v>3886410</v>
      </c>
      <c r="H198" s="13">
        <f>ROUND(1163923.33,2)</f>
        <v>1163923.33</v>
      </c>
      <c r="I198" s="13">
        <f t="shared" si="25"/>
        <v>0</v>
      </c>
      <c r="J198" s="13">
        <f t="shared" si="29"/>
        <v>0</v>
      </c>
      <c r="K198" s="13">
        <f>ROUND(1163923.33,2)</f>
        <v>1163923.33</v>
      </c>
    </row>
    <row r="199" spans="1:11" ht="34.5">
      <c r="A199" s="11" t="s">
        <v>853</v>
      </c>
      <c r="B199" s="12" t="s">
        <v>352</v>
      </c>
      <c r="C199" s="12" t="s">
        <v>548</v>
      </c>
      <c r="D199" s="13">
        <f>ROUND(20000,2)</f>
        <v>20000</v>
      </c>
      <c r="E199" s="13">
        <f t="shared" si="27"/>
        <v>0</v>
      </c>
      <c r="F199" s="13">
        <f t="shared" si="28"/>
        <v>0</v>
      </c>
      <c r="G199" s="13">
        <f>ROUND(20000,2)</f>
        <v>20000</v>
      </c>
      <c r="H199" s="13">
        <f>ROUND(0,2)</f>
        <v>0</v>
      </c>
      <c r="I199" s="13">
        <f t="shared" si="25"/>
        <v>0</v>
      </c>
      <c r="J199" s="13">
        <f t="shared" si="29"/>
        <v>0</v>
      </c>
      <c r="K199" s="13">
        <f>ROUND(0,2)</f>
        <v>0</v>
      </c>
    </row>
    <row r="200" spans="1:11" ht="34.5">
      <c r="A200" s="11" t="s">
        <v>372</v>
      </c>
      <c r="B200" s="12" t="s">
        <v>814</v>
      </c>
      <c r="C200" s="12" t="s">
        <v>695</v>
      </c>
      <c r="D200" s="13">
        <f>ROUND(12395869,2)</f>
        <v>12395869</v>
      </c>
      <c r="E200" s="13">
        <f t="shared" si="27"/>
        <v>0</v>
      </c>
      <c r="F200" s="13">
        <f t="shared" si="28"/>
        <v>0</v>
      </c>
      <c r="G200" s="13">
        <f>ROUND(12395869,2)</f>
        <v>12395869</v>
      </c>
      <c r="H200" s="13">
        <f>ROUND(920649.23,2)</f>
        <v>920649.23</v>
      </c>
      <c r="I200" s="13">
        <f aca="true" t="shared" si="30" ref="I200:I227">ROUND(0,2)</f>
        <v>0</v>
      </c>
      <c r="J200" s="13">
        <f t="shared" si="29"/>
        <v>0</v>
      </c>
      <c r="K200" s="13">
        <f>ROUND(920649.23,2)</f>
        <v>920649.23</v>
      </c>
    </row>
    <row r="201" spans="1:11" ht="23.25">
      <c r="A201" s="11" t="s">
        <v>839</v>
      </c>
      <c r="B201" s="12" t="s">
        <v>503</v>
      </c>
      <c r="C201" s="12" t="s">
        <v>736</v>
      </c>
      <c r="D201" s="13">
        <f>ROUND(523050,2)</f>
        <v>523050</v>
      </c>
      <c r="E201" s="13">
        <f t="shared" si="27"/>
        <v>0</v>
      </c>
      <c r="F201" s="13">
        <f t="shared" si="28"/>
        <v>0</v>
      </c>
      <c r="G201" s="13">
        <f>ROUND(523050,2)</f>
        <v>523050</v>
      </c>
      <c r="H201" s="13">
        <f>ROUND(437251.65,2)</f>
        <v>437251.65</v>
      </c>
      <c r="I201" s="13">
        <f t="shared" si="30"/>
        <v>0</v>
      </c>
      <c r="J201" s="13">
        <f t="shared" si="29"/>
        <v>0</v>
      </c>
      <c r="K201" s="13">
        <f>ROUND(437251.65,2)</f>
        <v>437251.65</v>
      </c>
    </row>
    <row r="202" spans="1:11" ht="34.5">
      <c r="A202" s="11" t="s">
        <v>394</v>
      </c>
      <c r="B202" s="12" t="s">
        <v>1034</v>
      </c>
      <c r="C202" s="12" t="s">
        <v>795</v>
      </c>
      <c r="D202" s="13">
        <f>ROUND(1632987,2)</f>
        <v>1632987</v>
      </c>
      <c r="E202" s="13">
        <f t="shared" si="27"/>
        <v>0</v>
      </c>
      <c r="F202" s="13">
        <f t="shared" si="28"/>
        <v>0</v>
      </c>
      <c r="G202" s="13">
        <f>ROUND(1632987,2)</f>
        <v>1632987</v>
      </c>
      <c r="H202" s="13">
        <f>ROUND(480197.55,2)</f>
        <v>480197.55</v>
      </c>
      <c r="I202" s="13">
        <f t="shared" si="30"/>
        <v>0</v>
      </c>
      <c r="J202" s="13">
        <f t="shared" si="29"/>
        <v>0</v>
      </c>
      <c r="K202" s="13">
        <f>ROUND(480197.55,2)</f>
        <v>480197.55</v>
      </c>
    </row>
    <row r="203" spans="1:11" ht="34.5">
      <c r="A203" s="11" t="s">
        <v>1005</v>
      </c>
      <c r="B203" s="12" t="s">
        <v>774</v>
      </c>
      <c r="C203" s="12" t="s">
        <v>953</v>
      </c>
      <c r="D203" s="13">
        <f>ROUND(246920,2)</f>
        <v>246920</v>
      </c>
      <c r="E203" s="13">
        <f t="shared" si="27"/>
        <v>0</v>
      </c>
      <c r="F203" s="13">
        <f t="shared" si="28"/>
        <v>0</v>
      </c>
      <c r="G203" s="13">
        <f>ROUND(246920,2)</f>
        <v>246920</v>
      </c>
      <c r="H203" s="13">
        <f>ROUND(71920,2)</f>
        <v>71920</v>
      </c>
      <c r="I203" s="13">
        <f t="shared" si="30"/>
        <v>0</v>
      </c>
      <c r="J203" s="13">
        <f t="shared" si="29"/>
        <v>0</v>
      </c>
      <c r="K203" s="13">
        <f>ROUND(71920,2)</f>
        <v>71920</v>
      </c>
    </row>
    <row r="204" spans="1:11" ht="45.75">
      <c r="A204" s="11" t="s">
        <v>316</v>
      </c>
      <c r="B204" s="12" t="s">
        <v>1023</v>
      </c>
      <c r="C204" s="12" t="s">
        <v>745</v>
      </c>
      <c r="D204" s="13">
        <f>ROUND(1386067,2)</f>
        <v>1386067</v>
      </c>
      <c r="E204" s="13">
        <f t="shared" si="27"/>
        <v>0</v>
      </c>
      <c r="F204" s="13">
        <f t="shared" si="28"/>
        <v>0</v>
      </c>
      <c r="G204" s="13">
        <f>ROUND(1386067,2)</f>
        <v>1386067</v>
      </c>
      <c r="H204" s="13">
        <f>ROUND(408277.55,2)</f>
        <v>408277.55</v>
      </c>
      <c r="I204" s="13">
        <f t="shared" si="30"/>
        <v>0</v>
      </c>
      <c r="J204" s="13">
        <f t="shared" si="29"/>
        <v>0</v>
      </c>
      <c r="K204" s="13">
        <f>ROUND(408277.55,2)</f>
        <v>408277.55</v>
      </c>
    </row>
    <row r="205" spans="1:11" ht="45.75">
      <c r="A205" s="11" t="s">
        <v>295</v>
      </c>
      <c r="B205" s="12" t="s">
        <v>463</v>
      </c>
      <c r="C205" s="12" t="s">
        <v>630</v>
      </c>
      <c r="D205" s="13">
        <f>ROUND(18201176,2)</f>
        <v>18201176</v>
      </c>
      <c r="E205" s="13">
        <f>ROUND(16478700,2)</f>
        <v>16478700</v>
      </c>
      <c r="F205" s="13">
        <f>ROUND(17045200,2)</f>
        <v>17045200</v>
      </c>
      <c r="G205" s="13">
        <f>ROUND(17634676,2)</f>
        <v>17634676</v>
      </c>
      <c r="H205" s="13">
        <f>ROUND(1185368.97,2)</f>
        <v>1185368.97</v>
      </c>
      <c r="I205" s="13">
        <f t="shared" si="30"/>
        <v>0</v>
      </c>
      <c r="J205" s="13">
        <f>ROUND(561968,2)</f>
        <v>561968</v>
      </c>
      <c r="K205" s="13">
        <f>ROUND(623400.97,2)</f>
        <v>623400.97</v>
      </c>
    </row>
    <row r="206" spans="1:11" ht="23.25">
      <c r="A206" s="11" t="s">
        <v>914</v>
      </c>
      <c r="B206" s="12" t="s">
        <v>120</v>
      </c>
      <c r="C206" s="12" t="s">
        <v>99</v>
      </c>
      <c r="D206" s="13">
        <f>ROUND(721476,2)</f>
        <v>721476</v>
      </c>
      <c r="E206" s="13">
        <f>ROUND(16478700,2)</f>
        <v>16478700</v>
      </c>
      <c r="F206" s="13">
        <f>ROUND(16645200,2)</f>
        <v>16645200</v>
      </c>
      <c r="G206" s="13">
        <f>ROUND(554976,2)</f>
        <v>554976</v>
      </c>
      <c r="H206" s="13">
        <f>ROUND(699711.14,2)</f>
        <v>699711.14</v>
      </c>
      <c r="I206" s="13">
        <f t="shared" si="30"/>
        <v>0</v>
      </c>
      <c r="J206" s="13">
        <f>ROUND(166500,2)</f>
        <v>166500</v>
      </c>
      <c r="K206" s="13">
        <f>ROUND(533211.14,2)</f>
        <v>533211.14</v>
      </c>
    </row>
    <row r="207" spans="1:11" ht="23.25">
      <c r="A207" s="11" t="s">
        <v>640</v>
      </c>
      <c r="B207" s="12" t="s">
        <v>644</v>
      </c>
      <c r="C207" s="12" t="s">
        <v>238</v>
      </c>
      <c r="D207" s="13">
        <f>ROUND(721476,2)</f>
        <v>721476</v>
      </c>
      <c r="E207" s="13">
        <f>ROUND(0,2)</f>
        <v>0</v>
      </c>
      <c r="F207" s="13">
        <f>ROUND(166500,2)</f>
        <v>166500</v>
      </c>
      <c r="G207" s="13">
        <f>ROUND(554976,2)</f>
        <v>554976</v>
      </c>
      <c r="H207" s="13">
        <f>ROUND(699711.14,2)</f>
        <v>699711.14</v>
      </c>
      <c r="I207" s="13">
        <f t="shared" si="30"/>
        <v>0</v>
      </c>
      <c r="J207" s="13">
        <f>ROUND(166500,2)</f>
        <v>166500</v>
      </c>
      <c r="K207" s="13">
        <f>ROUND(533211.14,2)</f>
        <v>533211.14</v>
      </c>
    </row>
    <row r="208" spans="1:11" ht="23.25">
      <c r="A208" s="11" t="s">
        <v>513</v>
      </c>
      <c r="B208" s="12" t="s">
        <v>687</v>
      </c>
      <c r="C208" s="12" t="s">
        <v>736</v>
      </c>
      <c r="D208" s="13">
        <f>ROUND(721476,2)</f>
        <v>721476</v>
      </c>
      <c r="E208" s="13">
        <f>ROUND(0,2)</f>
        <v>0</v>
      </c>
      <c r="F208" s="13">
        <f>ROUND(166500,2)</f>
        <v>166500</v>
      </c>
      <c r="G208" s="13">
        <f>ROUND(554976,2)</f>
        <v>554976</v>
      </c>
      <c r="H208" s="13">
        <f>ROUND(699711.14,2)</f>
        <v>699711.14</v>
      </c>
      <c r="I208" s="13">
        <f t="shared" si="30"/>
        <v>0</v>
      </c>
      <c r="J208" s="13">
        <f>ROUND(166500,2)</f>
        <v>166500</v>
      </c>
      <c r="K208" s="13">
        <f>ROUND(533211.14,2)</f>
        <v>533211.14</v>
      </c>
    </row>
    <row r="209" spans="1:11" ht="34.5">
      <c r="A209" s="11" t="s">
        <v>495</v>
      </c>
      <c r="B209" s="12" t="s">
        <v>370</v>
      </c>
      <c r="C209" s="12" t="s">
        <v>215</v>
      </c>
      <c r="D209" s="13">
        <f>ROUND(0,2)</f>
        <v>0</v>
      </c>
      <c r="E209" s="13">
        <f>ROUND(16478700,2)</f>
        <v>16478700</v>
      </c>
      <c r="F209" s="13">
        <f>ROUND(16478700,2)</f>
        <v>16478700</v>
      </c>
      <c r="G209" s="13">
        <f>ROUND(0,2)</f>
        <v>0</v>
      </c>
      <c r="H209" s="13">
        <f>ROUND(0,2)</f>
        <v>0</v>
      </c>
      <c r="I209" s="13">
        <f t="shared" si="30"/>
        <v>0</v>
      </c>
      <c r="J209" s="13">
        <f>ROUND(0,2)</f>
        <v>0</v>
      </c>
      <c r="K209" s="13">
        <f>ROUND(0,2)</f>
        <v>0</v>
      </c>
    </row>
    <row r="210" spans="1:11" ht="68.25">
      <c r="A210" s="11" t="s">
        <v>820</v>
      </c>
      <c r="B210" s="12" t="s">
        <v>851</v>
      </c>
      <c r="C210" s="12" t="s">
        <v>1033</v>
      </c>
      <c r="D210" s="13">
        <f>ROUND(0,2)</f>
        <v>0</v>
      </c>
      <c r="E210" s="13">
        <f>ROUND(16478700,2)</f>
        <v>16478700</v>
      </c>
      <c r="F210" s="13">
        <f>ROUND(16478700,2)</f>
        <v>16478700</v>
      </c>
      <c r="G210" s="13">
        <f>ROUND(0,2)</f>
        <v>0</v>
      </c>
      <c r="H210" s="13">
        <f>ROUND(0,2)</f>
        <v>0</v>
      </c>
      <c r="I210" s="13">
        <f t="shared" si="30"/>
        <v>0</v>
      </c>
      <c r="J210" s="13">
        <f>ROUND(0,2)</f>
        <v>0</v>
      </c>
      <c r="K210" s="13">
        <f>ROUND(0,2)</f>
        <v>0</v>
      </c>
    </row>
    <row r="211" spans="1:11" ht="34.5">
      <c r="A211" s="11" t="s">
        <v>1021</v>
      </c>
      <c r="B211" s="12" t="s">
        <v>160</v>
      </c>
      <c r="C211" s="12" t="s">
        <v>795</v>
      </c>
      <c r="D211" s="13">
        <f>ROUND(17479700,2)</f>
        <v>17479700</v>
      </c>
      <c r="E211" s="13">
        <f aca="true" t="shared" si="31" ref="E211:E227">ROUND(0,2)</f>
        <v>0</v>
      </c>
      <c r="F211" s="13">
        <f>ROUND(400000,2)</f>
        <v>400000</v>
      </c>
      <c r="G211" s="13">
        <f>ROUND(17079700,2)</f>
        <v>17079700</v>
      </c>
      <c r="H211" s="13">
        <f>ROUND(485657.83,2)</f>
        <v>485657.83</v>
      </c>
      <c r="I211" s="13">
        <f t="shared" si="30"/>
        <v>0</v>
      </c>
      <c r="J211" s="13">
        <f>ROUND(395468,2)</f>
        <v>395468</v>
      </c>
      <c r="K211" s="13">
        <f>ROUND(90189.83,2)</f>
        <v>90189.83</v>
      </c>
    </row>
    <row r="212" spans="1:11" ht="34.5">
      <c r="A212" s="11" t="s">
        <v>445</v>
      </c>
      <c r="B212" s="12" t="s">
        <v>435</v>
      </c>
      <c r="C212" s="12" t="s">
        <v>953</v>
      </c>
      <c r="D212" s="13">
        <f>ROUND(17479700,2)</f>
        <v>17479700</v>
      </c>
      <c r="E212" s="13">
        <f t="shared" si="31"/>
        <v>0</v>
      </c>
      <c r="F212" s="13">
        <f>ROUND(400000,2)</f>
        <v>400000</v>
      </c>
      <c r="G212" s="13">
        <f>ROUND(17079700,2)</f>
        <v>17079700</v>
      </c>
      <c r="H212" s="13">
        <f>ROUND(485657.83,2)</f>
        <v>485657.83</v>
      </c>
      <c r="I212" s="13">
        <f t="shared" si="30"/>
        <v>0</v>
      </c>
      <c r="J212" s="13">
        <f>ROUND(395468,2)</f>
        <v>395468</v>
      </c>
      <c r="K212" s="13">
        <f>ROUND(90189.83,2)</f>
        <v>90189.83</v>
      </c>
    </row>
    <row r="213" spans="1:11" ht="34.5">
      <c r="A213" s="11" t="s">
        <v>444</v>
      </c>
      <c r="B213" s="12" t="s">
        <v>176</v>
      </c>
      <c r="C213" s="12" t="s">
        <v>383</v>
      </c>
      <c r="D213" s="13">
        <f>ROUND(12433300,2)</f>
        <v>12433300</v>
      </c>
      <c r="E213" s="13">
        <f t="shared" si="31"/>
        <v>0</v>
      </c>
      <c r="F213" s="13">
        <f>ROUND(12433300,2)</f>
        <v>12433300</v>
      </c>
      <c r="G213" s="13">
        <f aca="true" t="shared" si="32" ref="G213:G227">ROUND(0,2)</f>
        <v>0</v>
      </c>
      <c r="H213" s="13">
        <f>ROUND(6665000,2)</f>
        <v>6665000</v>
      </c>
      <c r="I213" s="13">
        <f t="shared" si="30"/>
        <v>0</v>
      </c>
      <c r="J213" s="13">
        <f>ROUND(6665000,2)</f>
        <v>6665000</v>
      </c>
      <c r="K213" s="13">
        <f aca="true" t="shared" si="33" ref="K213:K227">ROUND(0,2)</f>
        <v>0</v>
      </c>
    </row>
    <row r="214" spans="1:11" ht="23.25">
      <c r="A214" s="11" t="s">
        <v>877</v>
      </c>
      <c r="B214" s="12" t="s">
        <v>271</v>
      </c>
      <c r="C214" s="12" t="s">
        <v>99</v>
      </c>
      <c r="D214" s="13">
        <f>ROUND(30000,2)</f>
        <v>30000</v>
      </c>
      <c r="E214" s="13">
        <f t="shared" si="31"/>
        <v>0</v>
      </c>
      <c r="F214" s="13">
        <f>ROUND(30000,2)</f>
        <v>30000</v>
      </c>
      <c r="G214" s="13">
        <f t="shared" si="32"/>
        <v>0</v>
      </c>
      <c r="H214" s="13">
        <f>ROUND(15000,2)</f>
        <v>15000</v>
      </c>
      <c r="I214" s="13">
        <f t="shared" si="30"/>
        <v>0</v>
      </c>
      <c r="J214" s="13">
        <f>ROUND(15000,2)</f>
        <v>15000</v>
      </c>
      <c r="K214" s="13">
        <f t="shared" si="33"/>
        <v>0</v>
      </c>
    </row>
    <row r="215" spans="1:11" ht="23.25">
      <c r="A215" s="11" t="s">
        <v>375</v>
      </c>
      <c r="B215" s="12" t="s">
        <v>785</v>
      </c>
      <c r="C215" s="12" t="s">
        <v>238</v>
      </c>
      <c r="D215" s="13">
        <f>ROUND(30000,2)</f>
        <v>30000</v>
      </c>
      <c r="E215" s="13">
        <f t="shared" si="31"/>
        <v>0</v>
      </c>
      <c r="F215" s="13">
        <f>ROUND(30000,2)</f>
        <v>30000</v>
      </c>
      <c r="G215" s="13">
        <f t="shared" si="32"/>
        <v>0</v>
      </c>
      <c r="H215" s="13">
        <f>ROUND(15000,2)</f>
        <v>15000</v>
      </c>
      <c r="I215" s="13">
        <f t="shared" si="30"/>
        <v>0</v>
      </c>
      <c r="J215" s="13">
        <f>ROUND(15000,2)</f>
        <v>15000</v>
      </c>
      <c r="K215" s="13">
        <f t="shared" si="33"/>
        <v>0</v>
      </c>
    </row>
    <row r="216" spans="1:11" ht="23.25">
      <c r="A216" s="11" t="s">
        <v>896</v>
      </c>
      <c r="B216" s="12" t="s">
        <v>995</v>
      </c>
      <c r="C216" s="12" t="s">
        <v>736</v>
      </c>
      <c r="D216" s="13">
        <f>ROUND(30000,2)</f>
        <v>30000</v>
      </c>
      <c r="E216" s="13">
        <f t="shared" si="31"/>
        <v>0</v>
      </c>
      <c r="F216" s="13">
        <f>ROUND(30000,2)</f>
        <v>30000</v>
      </c>
      <c r="G216" s="13">
        <f t="shared" si="32"/>
        <v>0</v>
      </c>
      <c r="H216" s="13">
        <f>ROUND(15000,2)</f>
        <v>15000</v>
      </c>
      <c r="I216" s="13">
        <f t="shared" si="30"/>
        <v>0</v>
      </c>
      <c r="J216" s="13">
        <f>ROUND(15000,2)</f>
        <v>15000</v>
      </c>
      <c r="K216" s="13">
        <f t="shared" si="33"/>
        <v>0</v>
      </c>
    </row>
    <row r="217" spans="1:11" ht="34.5">
      <c r="A217" s="11" t="s">
        <v>26</v>
      </c>
      <c r="B217" s="12" t="s">
        <v>473</v>
      </c>
      <c r="C217" s="12" t="s">
        <v>795</v>
      </c>
      <c r="D217" s="13">
        <f>ROUND(12403300,2)</f>
        <v>12403300</v>
      </c>
      <c r="E217" s="13">
        <f t="shared" si="31"/>
        <v>0</v>
      </c>
      <c r="F217" s="13">
        <f>ROUND(12403300,2)</f>
        <v>12403300</v>
      </c>
      <c r="G217" s="13">
        <f t="shared" si="32"/>
        <v>0</v>
      </c>
      <c r="H217" s="13">
        <f>ROUND(6650000,2)</f>
        <v>6650000</v>
      </c>
      <c r="I217" s="13">
        <f t="shared" si="30"/>
        <v>0</v>
      </c>
      <c r="J217" s="13">
        <f>ROUND(6650000,2)</f>
        <v>6650000</v>
      </c>
      <c r="K217" s="13">
        <f t="shared" si="33"/>
        <v>0</v>
      </c>
    </row>
    <row r="218" spans="1:11" ht="34.5">
      <c r="A218" s="11" t="s">
        <v>929</v>
      </c>
      <c r="B218" s="12" t="s">
        <v>199</v>
      </c>
      <c r="C218" s="12" t="s">
        <v>953</v>
      </c>
      <c r="D218" s="13">
        <f>ROUND(12403300,2)</f>
        <v>12403300</v>
      </c>
      <c r="E218" s="13">
        <f t="shared" si="31"/>
        <v>0</v>
      </c>
      <c r="F218" s="13">
        <f>ROUND(12403300,2)</f>
        <v>12403300</v>
      </c>
      <c r="G218" s="13">
        <f t="shared" si="32"/>
        <v>0</v>
      </c>
      <c r="H218" s="13">
        <f>ROUND(6650000,2)</f>
        <v>6650000</v>
      </c>
      <c r="I218" s="13">
        <f t="shared" si="30"/>
        <v>0</v>
      </c>
      <c r="J218" s="13">
        <f>ROUND(6650000,2)</f>
        <v>6650000</v>
      </c>
      <c r="K218" s="13">
        <f t="shared" si="33"/>
        <v>0</v>
      </c>
    </row>
    <row r="219" spans="1:11" ht="57">
      <c r="A219" s="11" t="s">
        <v>260</v>
      </c>
      <c r="B219" s="12" t="s">
        <v>939</v>
      </c>
      <c r="C219" s="12" t="s">
        <v>1009</v>
      </c>
      <c r="D219" s="13">
        <f>ROUND(6680000,2)</f>
        <v>6680000</v>
      </c>
      <c r="E219" s="13">
        <f t="shared" si="31"/>
        <v>0</v>
      </c>
      <c r="F219" s="13">
        <f>ROUND(6680000,2)</f>
        <v>6680000</v>
      </c>
      <c r="G219" s="13">
        <f t="shared" si="32"/>
        <v>0</v>
      </c>
      <c r="H219" s="13">
        <f>ROUND(6665000,2)</f>
        <v>6665000</v>
      </c>
      <c r="I219" s="13">
        <f t="shared" si="30"/>
        <v>0</v>
      </c>
      <c r="J219" s="13">
        <f>ROUND(6665000,2)</f>
        <v>6665000</v>
      </c>
      <c r="K219" s="13">
        <f t="shared" si="33"/>
        <v>0</v>
      </c>
    </row>
    <row r="220" spans="1:11" ht="23.25">
      <c r="A220" s="11" t="s">
        <v>683</v>
      </c>
      <c r="B220" s="12" t="s">
        <v>559</v>
      </c>
      <c r="C220" s="12" t="s">
        <v>99</v>
      </c>
      <c r="D220" s="13">
        <f>ROUND(30000,2)</f>
        <v>30000</v>
      </c>
      <c r="E220" s="13">
        <f t="shared" si="31"/>
        <v>0</v>
      </c>
      <c r="F220" s="13">
        <f>ROUND(30000,2)</f>
        <v>30000</v>
      </c>
      <c r="G220" s="13">
        <f t="shared" si="32"/>
        <v>0</v>
      </c>
      <c r="H220" s="13">
        <f>ROUND(15000,2)</f>
        <v>15000</v>
      </c>
      <c r="I220" s="13">
        <f t="shared" si="30"/>
        <v>0</v>
      </c>
      <c r="J220" s="13">
        <f>ROUND(15000,2)</f>
        <v>15000</v>
      </c>
      <c r="K220" s="13">
        <f t="shared" si="33"/>
        <v>0</v>
      </c>
    </row>
    <row r="221" spans="1:11" ht="23.25">
      <c r="A221" s="11" t="s">
        <v>419</v>
      </c>
      <c r="B221" s="12" t="s">
        <v>35</v>
      </c>
      <c r="C221" s="12" t="s">
        <v>238</v>
      </c>
      <c r="D221" s="13">
        <f>ROUND(30000,2)</f>
        <v>30000</v>
      </c>
      <c r="E221" s="13">
        <f t="shared" si="31"/>
        <v>0</v>
      </c>
      <c r="F221" s="13">
        <f>ROUND(30000,2)</f>
        <v>30000</v>
      </c>
      <c r="G221" s="13">
        <f t="shared" si="32"/>
        <v>0</v>
      </c>
      <c r="H221" s="13">
        <f>ROUND(15000,2)</f>
        <v>15000</v>
      </c>
      <c r="I221" s="13">
        <f t="shared" si="30"/>
        <v>0</v>
      </c>
      <c r="J221" s="13">
        <f>ROUND(15000,2)</f>
        <v>15000</v>
      </c>
      <c r="K221" s="13">
        <f t="shared" si="33"/>
        <v>0</v>
      </c>
    </row>
    <row r="222" spans="1:11" ht="23.25">
      <c r="A222" s="11" t="s">
        <v>490</v>
      </c>
      <c r="B222" s="12" t="s">
        <v>257</v>
      </c>
      <c r="C222" s="12" t="s">
        <v>736</v>
      </c>
      <c r="D222" s="13">
        <f>ROUND(30000,2)</f>
        <v>30000</v>
      </c>
      <c r="E222" s="13">
        <f t="shared" si="31"/>
        <v>0</v>
      </c>
      <c r="F222" s="13">
        <f>ROUND(30000,2)</f>
        <v>30000</v>
      </c>
      <c r="G222" s="13">
        <f t="shared" si="32"/>
        <v>0</v>
      </c>
      <c r="H222" s="13">
        <f>ROUND(15000,2)</f>
        <v>15000</v>
      </c>
      <c r="I222" s="13">
        <f t="shared" si="30"/>
        <v>0</v>
      </c>
      <c r="J222" s="13">
        <f>ROUND(15000,2)</f>
        <v>15000</v>
      </c>
      <c r="K222" s="13">
        <f t="shared" si="33"/>
        <v>0</v>
      </c>
    </row>
    <row r="223" spans="1:11" ht="34.5">
      <c r="A223" s="11" t="s">
        <v>859</v>
      </c>
      <c r="B223" s="12" t="s">
        <v>780</v>
      </c>
      <c r="C223" s="12" t="s">
        <v>795</v>
      </c>
      <c r="D223" s="13">
        <f>ROUND(6650000,2)</f>
        <v>6650000</v>
      </c>
      <c r="E223" s="13">
        <f t="shared" si="31"/>
        <v>0</v>
      </c>
      <c r="F223" s="13">
        <f>ROUND(6650000,2)</f>
        <v>6650000</v>
      </c>
      <c r="G223" s="13">
        <f t="shared" si="32"/>
        <v>0</v>
      </c>
      <c r="H223" s="13">
        <f>ROUND(6650000,2)</f>
        <v>6650000</v>
      </c>
      <c r="I223" s="13">
        <f t="shared" si="30"/>
        <v>0</v>
      </c>
      <c r="J223" s="13">
        <f>ROUND(6650000,2)</f>
        <v>6650000</v>
      </c>
      <c r="K223" s="13">
        <f t="shared" si="33"/>
        <v>0</v>
      </c>
    </row>
    <row r="224" spans="1:11" ht="34.5">
      <c r="A224" s="11" t="s">
        <v>287</v>
      </c>
      <c r="B224" s="12" t="s">
        <v>1031</v>
      </c>
      <c r="C224" s="12" t="s">
        <v>953</v>
      </c>
      <c r="D224" s="13">
        <f>ROUND(6650000,2)</f>
        <v>6650000</v>
      </c>
      <c r="E224" s="13">
        <f t="shared" si="31"/>
        <v>0</v>
      </c>
      <c r="F224" s="13">
        <f>ROUND(6650000,2)</f>
        <v>6650000</v>
      </c>
      <c r="G224" s="13">
        <f t="shared" si="32"/>
        <v>0</v>
      </c>
      <c r="H224" s="13">
        <f>ROUND(6650000,2)</f>
        <v>6650000</v>
      </c>
      <c r="I224" s="13">
        <f t="shared" si="30"/>
        <v>0</v>
      </c>
      <c r="J224" s="13">
        <f>ROUND(6650000,2)</f>
        <v>6650000</v>
      </c>
      <c r="K224" s="13">
        <f t="shared" si="33"/>
        <v>0</v>
      </c>
    </row>
    <row r="225" spans="1:11" ht="45.75">
      <c r="A225" s="11" t="s">
        <v>1013</v>
      </c>
      <c r="B225" s="12" t="s">
        <v>196</v>
      </c>
      <c r="C225" s="12" t="s">
        <v>986</v>
      </c>
      <c r="D225" s="13">
        <f>ROUND(5753300,2)</f>
        <v>5753300</v>
      </c>
      <c r="E225" s="13">
        <f t="shared" si="31"/>
        <v>0</v>
      </c>
      <c r="F225" s="13">
        <f>ROUND(5753300,2)</f>
        <v>5753300</v>
      </c>
      <c r="G225" s="13">
        <f t="shared" si="32"/>
        <v>0</v>
      </c>
      <c r="H225" s="13">
        <f>ROUND(0,2)</f>
        <v>0</v>
      </c>
      <c r="I225" s="13">
        <f t="shared" si="30"/>
        <v>0</v>
      </c>
      <c r="J225" s="13">
        <f>ROUND(0,2)</f>
        <v>0</v>
      </c>
      <c r="K225" s="13">
        <f t="shared" si="33"/>
        <v>0</v>
      </c>
    </row>
    <row r="226" spans="1:11" ht="34.5">
      <c r="A226" s="11" t="s">
        <v>307</v>
      </c>
      <c r="B226" s="12" t="s">
        <v>430</v>
      </c>
      <c r="C226" s="12" t="s">
        <v>795</v>
      </c>
      <c r="D226" s="13">
        <f>ROUND(5753300,2)</f>
        <v>5753300</v>
      </c>
      <c r="E226" s="13">
        <f t="shared" si="31"/>
        <v>0</v>
      </c>
      <c r="F226" s="13">
        <f>ROUND(5753300,2)</f>
        <v>5753300</v>
      </c>
      <c r="G226" s="13">
        <f t="shared" si="32"/>
        <v>0</v>
      </c>
      <c r="H226" s="13">
        <f>ROUND(0,2)</f>
        <v>0</v>
      </c>
      <c r="I226" s="13">
        <f t="shared" si="30"/>
        <v>0</v>
      </c>
      <c r="J226" s="13">
        <f>ROUND(0,2)</f>
        <v>0</v>
      </c>
      <c r="K226" s="13">
        <f t="shared" si="33"/>
        <v>0</v>
      </c>
    </row>
    <row r="227" spans="1:11" ht="34.5">
      <c r="A227" s="11" t="s">
        <v>902</v>
      </c>
      <c r="B227" s="12" t="s">
        <v>169</v>
      </c>
      <c r="C227" s="12" t="s">
        <v>953</v>
      </c>
      <c r="D227" s="13">
        <f>ROUND(5753300,2)</f>
        <v>5753300</v>
      </c>
      <c r="E227" s="13">
        <f t="shared" si="31"/>
        <v>0</v>
      </c>
      <c r="F227" s="13">
        <f>ROUND(5753300,2)</f>
        <v>5753300</v>
      </c>
      <c r="G227" s="13">
        <f t="shared" si="32"/>
        <v>0</v>
      </c>
      <c r="H227" s="13">
        <f>ROUND(0,2)</f>
        <v>0</v>
      </c>
      <c r="I227" s="13">
        <f t="shared" si="30"/>
        <v>0</v>
      </c>
      <c r="J227" s="13">
        <f>ROUND(0,2)</f>
        <v>0</v>
      </c>
      <c r="K227" s="13">
        <f t="shared" si="33"/>
        <v>0</v>
      </c>
    </row>
    <row r="228" spans="1:11" ht="23.25">
      <c r="A228" s="11" t="s">
        <v>338</v>
      </c>
      <c r="B228" s="12" t="s">
        <v>962</v>
      </c>
      <c r="C228" s="12" t="s">
        <v>349</v>
      </c>
      <c r="D228" s="13">
        <f>ROUND(295778409,2)</f>
        <v>295778409</v>
      </c>
      <c r="E228" s="13">
        <f>ROUND(42704890,2)</f>
        <v>42704890</v>
      </c>
      <c r="F228" s="13">
        <f>ROUND(294678409,2)</f>
        <v>294678409</v>
      </c>
      <c r="G228" s="13">
        <f>ROUND(43804890,2)</f>
        <v>43804890</v>
      </c>
      <c r="H228" s="13">
        <f>ROUND(61245916.38,2)</f>
        <v>61245916.38</v>
      </c>
      <c r="I228" s="13">
        <f>ROUND(9686288.73,2)</f>
        <v>9686288.73</v>
      </c>
      <c r="J228" s="13">
        <f>ROUND(62310854.63,2)</f>
        <v>62310854.63</v>
      </c>
      <c r="K228" s="13">
        <f>ROUND(8621350.48,2)</f>
        <v>8621350.48</v>
      </c>
    </row>
    <row r="229" spans="1:11" ht="23.25">
      <c r="A229" s="11" t="s">
        <v>960</v>
      </c>
      <c r="B229" s="12" t="s">
        <v>521</v>
      </c>
      <c r="C229" s="12" t="s">
        <v>99</v>
      </c>
      <c r="D229" s="13">
        <f>ROUND(244474359,2)</f>
        <v>244474359</v>
      </c>
      <c r="E229" s="13">
        <f>ROUND(42704890,2)</f>
        <v>42704890</v>
      </c>
      <c r="F229" s="13">
        <f>ROUND(249109719,2)</f>
        <v>249109719</v>
      </c>
      <c r="G229" s="13">
        <f>ROUND(38069530,2)</f>
        <v>38069530</v>
      </c>
      <c r="H229" s="13">
        <f>ROUND(54390014.95,2)</f>
        <v>54390014.95</v>
      </c>
      <c r="I229" s="13">
        <f>ROUND(9686288.73,2)</f>
        <v>9686288.73</v>
      </c>
      <c r="J229" s="13">
        <f>ROUND(56377475,2)</f>
        <v>56377475</v>
      </c>
      <c r="K229" s="13">
        <f>ROUND(7698828.68,2)</f>
        <v>7698828.68</v>
      </c>
    </row>
    <row r="230" spans="1:11" ht="45.75">
      <c r="A230" s="11" t="s">
        <v>497</v>
      </c>
      <c r="B230" s="12" t="s">
        <v>803</v>
      </c>
      <c r="C230" s="12" t="s">
        <v>801</v>
      </c>
      <c r="D230" s="13">
        <f>ROUND(210254100,2)</f>
        <v>210254100</v>
      </c>
      <c r="E230" s="13">
        <f aca="true" t="shared" si="34" ref="E230:E239">ROUND(0,2)</f>
        <v>0</v>
      </c>
      <c r="F230" s="13">
        <f>ROUND(178043648,2)</f>
        <v>178043648</v>
      </c>
      <c r="G230" s="13">
        <f>ROUND(32210452,2)</f>
        <v>32210452</v>
      </c>
      <c r="H230" s="13">
        <f>ROUND(46761229.95,2)</f>
        <v>46761229.95</v>
      </c>
      <c r="I230" s="13">
        <f aca="true" t="shared" si="35" ref="I230:I239">ROUND(0,2)</f>
        <v>0</v>
      </c>
      <c r="J230" s="13">
        <f>ROUND(40561050.83,2)</f>
        <v>40561050.83</v>
      </c>
      <c r="K230" s="13">
        <f>ROUND(6200179.12,2)</f>
        <v>6200179.12</v>
      </c>
    </row>
    <row r="231" spans="1:11" ht="23.25">
      <c r="A231" s="11" t="s">
        <v>913</v>
      </c>
      <c r="B231" s="12" t="s">
        <v>359</v>
      </c>
      <c r="C231" s="12" t="s">
        <v>189</v>
      </c>
      <c r="D231" s="13">
        <f>ROUND(160892500,2)</f>
        <v>160892500</v>
      </c>
      <c r="E231" s="13">
        <f t="shared" si="34"/>
        <v>0</v>
      </c>
      <c r="F231" s="13">
        <f>ROUND(136230220,2)</f>
        <v>136230220</v>
      </c>
      <c r="G231" s="13">
        <f>ROUND(24662280,2)</f>
        <v>24662280</v>
      </c>
      <c r="H231" s="13">
        <f>ROUND(37025644.53,2)</f>
        <v>37025644.53</v>
      </c>
      <c r="I231" s="13">
        <f t="shared" si="35"/>
        <v>0</v>
      </c>
      <c r="J231" s="13">
        <f>ROUND(32294991.07,2)</f>
        <v>32294991.07</v>
      </c>
      <c r="K231" s="13">
        <f>ROUND(4730653.46,2)</f>
        <v>4730653.46</v>
      </c>
    </row>
    <row r="232" spans="1:11" ht="23.25">
      <c r="A232" s="11" t="s">
        <v>294</v>
      </c>
      <c r="B232" s="12" t="s">
        <v>972</v>
      </c>
      <c r="C232" s="12" t="s">
        <v>288</v>
      </c>
      <c r="D232" s="13">
        <f>ROUND(675100,2)</f>
        <v>675100</v>
      </c>
      <c r="E232" s="13">
        <f t="shared" si="34"/>
        <v>0</v>
      </c>
      <c r="F232" s="13">
        <f>ROUND(583900,2)</f>
        <v>583900</v>
      </c>
      <c r="G232" s="13">
        <f>ROUND(91200,2)</f>
        <v>91200</v>
      </c>
      <c r="H232" s="13">
        <f>ROUND(117000,2)</f>
        <v>117000</v>
      </c>
      <c r="I232" s="13">
        <f t="shared" si="35"/>
        <v>0</v>
      </c>
      <c r="J232" s="13">
        <f>ROUND(99300,2)</f>
        <v>99300</v>
      </c>
      <c r="K232" s="13">
        <f>ROUND(17700,2)</f>
        <v>17700</v>
      </c>
    </row>
    <row r="233" spans="1:11" ht="34.5">
      <c r="A233" s="11" t="s">
        <v>982</v>
      </c>
      <c r="B233" s="12" t="s">
        <v>488</v>
      </c>
      <c r="C233" s="12" t="s">
        <v>122</v>
      </c>
      <c r="D233" s="13">
        <f>ROUND(48686500,2)</f>
        <v>48686500</v>
      </c>
      <c r="E233" s="13">
        <f t="shared" si="34"/>
        <v>0</v>
      </c>
      <c r="F233" s="13">
        <f>ROUND(41229528,2)</f>
        <v>41229528</v>
      </c>
      <c r="G233" s="13">
        <f>ROUND(7456972,2)</f>
        <v>7456972</v>
      </c>
      <c r="H233" s="13">
        <f>ROUND(9618585.42,2)</f>
        <v>9618585.42</v>
      </c>
      <c r="I233" s="13">
        <f t="shared" si="35"/>
        <v>0</v>
      </c>
      <c r="J233" s="13">
        <f>ROUND(8166759.76,2)</f>
        <v>8166759.76</v>
      </c>
      <c r="K233" s="13">
        <f>ROUND(1451825.66,2)</f>
        <v>1451825.66</v>
      </c>
    </row>
    <row r="234" spans="1:11" ht="23.25">
      <c r="A234" s="11" t="s">
        <v>412</v>
      </c>
      <c r="B234" s="12" t="s">
        <v>1</v>
      </c>
      <c r="C234" s="12" t="s">
        <v>238</v>
      </c>
      <c r="D234" s="13">
        <f>ROUND(33990554,2)</f>
        <v>33990554</v>
      </c>
      <c r="E234" s="13">
        <f t="shared" si="34"/>
        <v>0</v>
      </c>
      <c r="F234" s="13">
        <f>ROUND(28148881,2)</f>
        <v>28148881</v>
      </c>
      <c r="G234" s="13">
        <f>ROUND(5841673,2)</f>
        <v>5841673</v>
      </c>
      <c r="H234" s="13">
        <f>ROUND(7525971.89,2)</f>
        <v>7525971.89</v>
      </c>
      <c r="I234" s="13">
        <f t="shared" si="35"/>
        <v>0</v>
      </c>
      <c r="J234" s="13">
        <f>ROUND(6032949.73,2)</f>
        <v>6032949.73</v>
      </c>
      <c r="K234" s="13">
        <f>ROUND(1493022.16,2)</f>
        <v>1493022.16</v>
      </c>
    </row>
    <row r="235" spans="1:11" ht="23.25">
      <c r="A235" s="11" t="s">
        <v>1001</v>
      </c>
      <c r="B235" s="12" t="s">
        <v>616</v>
      </c>
      <c r="C235" s="12" t="s">
        <v>631</v>
      </c>
      <c r="D235" s="13">
        <f>ROUND(1331550,2)</f>
        <v>1331550</v>
      </c>
      <c r="E235" s="13">
        <f t="shared" si="34"/>
        <v>0</v>
      </c>
      <c r="F235" s="13">
        <f>ROUND(1211400,2)</f>
        <v>1211400</v>
      </c>
      <c r="G235" s="13">
        <f>ROUND(120150,2)</f>
        <v>120150</v>
      </c>
      <c r="H235" s="13">
        <f>ROUND(220689.24,2)</f>
        <v>220689.24</v>
      </c>
      <c r="I235" s="13">
        <f t="shared" si="35"/>
        <v>0</v>
      </c>
      <c r="J235" s="13">
        <f>ROUND(197501.16,2)</f>
        <v>197501.16</v>
      </c>
      <c r="K235" s="13">
        <f>ROUND(23188.08,2)</f>
        <v>23188.08</v>
      </c>
    </row>
    <row r="236" spans="1:11" ht="23.25">
      <c r="A236" s="11" t="s">
        <v>407</v>
      </c>
      <c r="B236" s="12" t="s">
        <v>175</v>
      </c>
      <c r="C236" s="12" t="s">
        <v>454</v>
      </c>
      <c r="D236" s="13">
        <f>ROUND(142145,2)</f>
        <v>142145</v>
      </c>
      <c r="E236" s="13">
        <f t="shared" si="34"/>
        <v>0</v>
      </c>
      <c r="F236" s="13">
        <f>ROUND(88500,2)</f>
        <v>88500</v>
      </c>
      <c r="G236" s="13">
        <f>ROUND(53645,2)</f>
        <v>53645</v>
      </c>
      <c r="H236" s="13">
        <f>ROUND(18908.4,2)</f>
        <v>18908.4</v>
      </c>
      <c r="I236" s="13">
        <f t="shared" si="35"/>
        <v>0</v>
      </c>
      <c r="J236" s="13">
        <f>ROUND(18263.4,2)</f>
        <v>18263.4</v>
      </c>
      <c r="K236" s="13">
        <f>ROUND(645,2)</f>
        <v>645</v>
      </c>
    </row>
    <row r="237" spans="1:11" ht="23.25">
      <c r="A237" s="11" t="s">
        <v>221</v>
      </c>
      <c r="B237" s="12" t="s">
        <v>758</v>
      </c>
      <c r="C237" s="12" t="s">
        <v>866</v>
      </c>
      <c r="D237" s="13">
        <f>ROUND(12356021,2)</f>
        <v>12356021</v>
      </c>
      <c r="E237" s="13">
        <f t="shared" si="34"/>
        <v>0</v>
      </c>
      <c r="F237" s="13">
        <f>ROUND(9701671,2)</f>
        <v>9701671</v>
      </c>
      <c r="G237" s="13">
        <f>ROUND(2654350,2)</f>
        <v>2654350</v>
      </c>
      <c r="H237" s="13">
        <f>ROUND(4949392.21,2)</f>
        <v>4949392.21</v>
      </c>
      <c r="I237" s="13">
        <f t="shared" si="35"/>
        <v>0</v>
      </c>
      <c r="J237" s="13">
        <f>ROUND(3993252.66,2)</f>
        <v>3993252.66</v>
      </c>
      <c r="K237" s="13">
        <f>ROUND(956139.55,2)</f>
        <v>956139.55</v>
      </c>
    </row>
    <row r="238" spans="1:11" ht="34.5">
      <c r="A238" s="11" t="s">
        <v>114</v>
      </c>
      <c r="B238" s="12" t="s">
        <v>588</v>
      </c>
      <c r="C238" s="12" t="s">
        <v>695</v>
      </c>
      <c r="D238" s="13">
        <f>ROUND(13138518,2)</f>
        <v>13138518</v>
      </c>
      <c r="E238" s="13">
        <f t="shared" si="34"/>
        <v>0</v>
      </c>
      <c r="F238" s="13">
        <f>ROUND(10751700,2)</f>
        <v>10751700</v>
      </c>
      <c r="G238" s="13">
        <f>ROUND(2386818,2)</f>
        <v>2386818</v>
      </c>
      <c r="H238" s="13">
        <f>ROUND(751349.39,2)</f>
        <v>751349.39</v>
      </c>
      <c r="I238" s="13">
        <f t="shared" si="35"/>
        <v>0</v>
      </c>
      <c r="J238" s="13">
        <f>ROUND(432542.82,2)</f>
        <v>432542.82</v>
      </c>
      <c r="K238" s="13">
        <f>ROUND(318806.57,2)</f>
        <v>318806.57</v>
      </c>
    </row>
    <row r="239" spans="1:11" ht="23.25">
      <c r="A239" s="11" t="s">
        <v>580</v>
      </c>
      <c r="B239" s="12" t="s">
        <v>212</v>
      </c>
      <c r="C239" s="12" t="s">
        <v>736</v>
      </c>
      <c r="D239" s="13">
        <f>ROUND(7022320,2)</f>
        <v>7022320</v>
      </c>
      <c r="E239" s="13">
        <f t="shared" si="34"/>
        <v>0</v>
      </c>
      <c r="F239" s="13">
        <f>ROUND(6395610,2)</f>
        <v>6395610</v>
      </c>
      <c r="G239" s="13">
        <f>ROUND(626710,2)</f>
        <v>626710</v>
      </c>
      <c r="H239" s="13">
        <f>ROUND(1585632.65,2)</f>
        <v>1585632.65</v>
      </c>
      <c r="I239" s="13">
        <f t="shared" si="35"/>
        <v>0</v>
      </c>
      <c r="J239" s="13">
        <f>ROUND(1391389.69,2)</f>
        <v>1391389.69</v>
      </c>
      <c r="K239" s="13">
        <f>ROUND(194242.96,2)</f>
        <v>194242.96</v>
      </c>
    </row>
    <row r="240" spans="1:11" ht="34.5">
      <c r="A240" s="11" t="s">
        <v>985</v>
      </c>
      <c r="B240" s="12" t="s">
        <v>822</v>
      </c>
      <c r="C240" s="12" t="s">
        <v>215</v>
      </c>
      <c r="D240" s="13">
        <f>ROUND(0,2)</f>
        <v>0</v>
      </c>
      <c r="E240" s="13">
        <f>ROUND(42704890,2)</f>
        <v>42704890</v>
      </c>
      <c r="F240" s="13">
        <f>ROUND(42704890,2)</f>
        <v>42704890</v>
      </c>
      <c r="G240" s="13">
        <f>ROUND(0,2)</f>
        <v>0</v>
      </c>
      <c r="H240" s="13">
        <f>ROUND(0,2)</f>
        <v>0</v>
      </c>
      <c r="I240" s="13">
        <f>ROUND(9686288.73,2)</f>
        <v>9686288.73</v>
      </c>
      <c r="J240" s="13">
        <f>ROUND(9686288.73,2)</f>
        <v>9686288.73</v>
      </c>
      <c r="K240" s="13">
        <f>ROUND(0,2)</f>
        <v>0</v>
      </c>
    </row>
    <row r="241" spans="1:11" ht="68.25">
      <c r="A241" s="11" t="s">
        <v>401</v>
      </c>
      <c r="B241" s="12" t="s">
        <v>335</v>
      </c>
      <c r="C241" s="12" t="s">
        <v>1033</v>
      </c>
      <c r="D241" s="13">
        <f>ROUND(0,2)</f>
        <v>0</v>
      </c>
      <c r="E241" s="13">
        <f>ROUND(42704890,2)</f>
        <v>42704890</v>
      </c>
      <c r="F241" s="13">
        <f>ROUND(42704890,2)</f>
        <v>42704890</v>
      </c>
      <c r="G241" s="13">
        <f>ROUND(0,2)</f>
        <v>0</v>
      </c>
      <c r="H241" s="13">
        <f>ROUND(0,2)</f>
        <v>0</v>
      </c>
      <c r="I241" s="13">
        <f>ROUND(9686288.73,2)</f>
        <v>9686288.73</v>
      </c>
      <c r="J241" s="13">
        <f>ROUND(9686288.73,2)</f>
        <v>9686288.73</v>
      </c>
      <c r="K241" s="13">
        <f>ROUND(0,2)</f>
        <v>0</v>
      </c>
    </row>
    <row r="242" spans="1:11" ht="23.25">
      <c r="A242" s="11" t="s">
        <v>819</v>
      </c>
      <c r="B242" s="12" t="s">
        <v>842</v>
      </c>
      <c r="C242" s="12" t="s">
        <v>961</v>
      </c>
      <c r="D242" s="13">
        <f>ROUND(229705,2)</f>
        <v>229705</v>
      </c>
      <c r="E242" s="13">
        <f>ROUND(0,2)</f>
        <v>0</v>
      </c>
      <c r="F242" s="13">
        <f>ROUND(212300,2)</f>
        <v>212300</v>
      </c>
      <c r="G242" s="13">
        <f>ROUND(17405,2)</f>
        <v>17405</v>
      </c>
      <c r="H242" s="13">
        <f>ROUND(102813.11,2)</f>
        <v>102813.11</v>
      </c>
      <c r="I242" s="13">
        <f>ROUND(0,2)</f>
        <v>0</v>
      </c>
      <c r="J242" s="13">
        <f>ROUND(97185.71,2)</f>
        <v>97185.71</v>
      </c>
      <c r="K242" s="13">
        <f>ROUND(5627.4,2)</f>
        <v>5627.4</v>
      </c>
    </row>
    <row r="243" spans="1:11" ht="34.5">
      <c r="A243" s="11" t="s">
        <v>332</v>
      </c>
      <c r="B243" s="12" t="s">
        <v>742</v>
      </c>
      <c r="C243" s="12" t="s">
        <v>795</v>
      </c>
      <c r="D243" s="13">
        <f>ROUND(51304050,2)</f>
        <v>51304050</v>
      </c>
      <c r="E243" s="13">
        <f>ROUND(0,2)</f>
        <v>0</v>
      </c>
      <c r="F243" s="13">
        <f>ROUND(45568690,2)</f>
        <v>45568690</v>
      </c>
      <c r="G243" s="13">
        <f>ROUND(5735360,2)</f>
        <v>5735360</v>
      </c>
      <c r="H243" s="13">
        <f>ROUND(6855901.43,2)</f>
        <v>6855901.43</v>
      </c>
      <c r="I243" s="13">
        <f>ROUND(0,2)</f>
        <v>0</v>
      </c>
      <c r="J243" s="13">
        <f>ROUND(5933379.63,2)</f>
        <v>5933379.63</v>
      </c>
      <c r="K243" s="13">
        <f>ROUND(922521.8,2)</f>
        <v>922521.8</v>
      </c>
    </row>
    <row r="244" spans="1:11" ht="34.5">
      <c r="A244" s="11" t="s">
        <v>734</v>
      </c>
      <c r="B244" s="12" t="s">
        <v>991</v>
      </c>
      <c r="C244" s="12" t="s">
        <v>953</v>
      </c>
      <c r="D244" s="13">
        <f>ROUND(22234391,2)</f>
        <v>22234391</v>
      </c>
      <c r="E244" s="13">
        <f>ROUND(0,2)</f>
        <v>0</v>
      </c>
      <c r="F244" s="13">
        <f>ROUND(20870571,2)</f>
        <v>20870571</v>
      </c>
      <c r="G244" s="13">
        <f>ROUND(1363820,2)</f>
        <v>1363820</v>
      </c>
      <c r="H244" s="13">
        <f>ROUND(1003302.93,2)</f>
        <v>1003302.93</v>
      </c>
      <c r="I244" s="13">
        <f>ROUND(0,2)</f>
        <v>0</v>
      </c>
      <c r="J244" s="13">
        <f>ROUND(776596.93,2)</f>
        <v>776596.93</v>
      </c>
      <c r="K244" s="13">
        <f>ROUND(226706,2)</f>
        <v>226706</v>
      </c>
    </row>
    <row r="245" spans="1:11" ht="45.75">
      <c r="A245" s="11" t="s">
        <v>56</v>
      </c>
      <c r="B245" s="12" t="s">
        <v>717</v>
      </c>
      <c r="C245" s="12" t="s">
        <v>745</v>
      </c>
      <c r="D245" s="13">
        <f>ROUND(29069659,2)</f>
        <v>29069659</v>
      </c>
      <c r="E245" s="13">
        <f>ROUND(0,2)</f>
        <v>0</v>
      </c>
      <c r="F245" s="13">
        <f>ROUND(24698119,2)</f>
        <v>24698119</v>
      </c>
      <c r="G245" s="13">
        <f>ROUND(4371540,2)</f>
        <v>4371540</v>
      </c>
      <c r="H245" s="13">
        <f>ROUND(5852598.5,2)</f>
        <v>5852598.5</v>
      </c>
      <c r="I245" s="13">
        <f>ROUND(0,2)</f>
        <v>0</v>
      </c>
      <c r="J245" s="13">
        <f>ROUND(5156782.7,2)</f>
        <v>5156782.7</v>
      </c>
      <c r="K245" s="13">
        <f>ROUND(695815.8,2)</f>
        <v>695815.8</v>
      </c>
    </row>
    <row r="246" spans="1:11" ht="23.25">
      <c r="A246" s="11" t="s">
        <v>512</v>
      </c>
      <c r="B246" s="12" t="s">
        <v>686</v>
      </c>
      <c r="C246" s="12" t="s">
        <v>855</v>
      </c>
      <c r="D246" s="13">
        <f>ROUND(51582800,2)</f>
        <v>51582800</v>
      </c>
      <c r="E246" s="13">
        <f>ROUND(13495600,2)</f>
        <v>13495600</v>
      </c>
      <c r="F246" s="13">
        <f>ROUND(50482800,2)</f>
        <v>50482800</v>
      </c>
      <c r="G246" s="13">
        <f>ROUND(14595600,2)</f>
        <v>14595600</v>
      </c>
      <c r="H246" s="13">
        <f>ROUND(11107961.78,2)</f>
        <v>11107961.78</v>
      </c>
      <c r="I246" s="13">
        <f>ROUND(2946800,2)</f>
        <v>2946800</v>
      </c>
      <c r="J246" s="13">
        <f>ROUND(11361408.3,2)</f>
        <v>11361408.3</v>
      </c>
      <c r="K246" s="13">
        <f>ROUND(2693353.48,2)</f>
        <v>2693353.48</v>
      </c>
    </row>
    <row r="247" spans="1:11" ht="23.25">
      <c r="A247" s="11" t="s">
        <v>92</v>
      </c>
      <c r="B247" s="12" t="s">
        <v>808</v>
      </c>
      <c r="C247" s="12" t="s">
        <v>99</v>
      </c>
      <c r="D247" s="13">
        <f>ROUND(41999555,2)</f>
        <v>41999555</v>
      </c>
      <c r="E247" s="13">
        <f>ROUND(13495600,2)</f>
        <v>13495600</v>
      </c>
      <c r="F247" s="13">
        <f>ROUND(43087200,2)</f>
        <v>43087200</v>
      </c>
      <c r="G247" s="13">
        <f>ROUND(12407955,2)</f>
        <v>12407955</v>
      </c>
      <c r="H247" s="13">
        <f>ROUND(9253165.7,2)</f>
        <v>9253165.7</v>
      </c>
      <c r="I247" s="13">
        <f>ROUND(2946800,2)</f>
        <v>2946800</v>
      </c>
      <c r="J247" s="13">
        <f>ROUND(9984348.3,2)</f>
        <v>9984348.3</v>
      </c>
      <c r="K247" s="13">
        <f>ROUND(2215617.4,2)</f>
        <v>2215617.4</v>
      </c>
    </row>
    <row r="248" spans="1:11" ht="45.75">
      <c r="A248" s="11" t="s">
        <v>556</v>
      </c>
      <c r="B248" s="12" t="s">
        <v>542</v>
      </c>
      <c r="C248" s="12" t="s">
        <v>801</v>
      </c>
      <c r="D248" s="13">
        <f>ROUND(38358600,2)</f>
        <v>38358600</v>
      </c>
      <c r="E248" s="13">
        <f aca="true" t="shared" si="36" ref="E248:E257">ROUND(0,2)</f>
        <v>0</v>
      </c>
      <c r="F248" s="13">
        <f>ROUND(27828400,2)</f>
        <v>27828400</v>
      </c>
      <c r="G248" s="13">
        <f>ROUND(10530200,2)</f>
        <v>10530200</v>
      </c>
      <c r="H248" s="13">
        <f>ROUND(7933674.82,2)</f>
        <v>7933674.82</v>
      </c>
      <c r="I248" s="13">
        <f aca="true" t="shared" si="37" ref="I248:I257">ROUND(0,2)</f>
        <v>0</v>
      </c>
      <c r="J248" s="13">
        <f>ROUND(6257377.25,2)</f>
        <v>6257377.25</v>
      </c>
      <c r="K248" s="13">
        <f>ROUND(1676297.57,2)</f>
        <v>1676297.57</v>
      </c>
    </row>
    <row r="249" spans="1:11" ht="23.25">
      <c r="A249" s="11" t="s">
        <v>61</v>
      </c>
      <c r="B249" s="12" t="s">
        <v>69</v>
      </c>
      <c r="C249" s="12" t="s">
        <v>189</v>
      </c>
      <c r="D249" s="13">
        <f>ROUND(29362800,2)</f>
        <v>29362800</v>
      </c>
      <c r="E249" s="13">
        <f t="shared" si="36"/>
        <v>0</v>
      </c>
      <c r="F249" s="13">
        <f>ROUND(21304400,2)</f>
        <v>21304400</v>
      </c>
      <c r="G249" s="13">
        <f>ROUND(8058400,2)</f>
        <v>8058400</v>
      </c>
      <c r="H249" s="13">
        <f>ROUND(6434672.65,2)</f>
        <v>6434672.65</v>
      </c>
      <c r="I249" s="13">
        <f t="shared" si="37"/>
        <v>0</v>
      </c>
      <c r="J249" s="13">
        <f>ROUND(5226620.72,2)</f>
        <v>5226620.72</v>
      </c>
      <c r="K249" s="13">
        <f>ROUND(1208051.93,2)</f>
        <v>1208051.93</v>
      </c>
    </row>
    <row r="250" spans="1:11" ht="23.25">
      <c r="A250" s="11" t="s">
        <v>460</v>
      </c>
      <c r="B250" s="12" t="s">
        <v>681</v>
      </c>
      <c r="C250" s="12" t="s">
        <v>288</v>
      </c>
      <c r="D250" s="13">
        <f>ROUND(119200,2)</f>
        <v>119200</v>
      </c>
      <c r="E250" s="13">
        <f t="shared" si="36"/>
        <v>0</v>
      </c>
      <c r="F250" s="13">
        <f>ROUND(90000,2)</f>
        <v>90000</v>
      </c>
      <c r="G250" s="13">
        <f>ROUND(29200,2)</f>
        <v>29200</v>
      </c>
      <c r="H250" s="13">
        <f>ROUND(5000,2)</f>
        <v>5000</v>
      </c>
      <c r="I250" s="13">
        <f t="shared" si="37"/>
        <v>0</v>
      </c>
      <c r="J250" s="13">
        <f>ROUND(0,2)</f>
        <v>0</v>
      </c>
      <c r="K250" s="13">
        <f>ROUND(5000,2)</f>
        <v>5000</v>
      </c>
    </row>
    <row r="251" spans="1:11" ht="34.5">
      <c r="A251" s="11" t="s">
        <v>932</v>
      </c>
      <c r="B251" s="12" t="s">
        <v>256</v>
      </c>
      <c r="C251" s="12" t="s">
        <v>122</v>
      </c>
      <c r="D251" s="13">
        <f>ROUND(8876600,2)</f>
        <v>8876600</v>
      </c>
      <c r="E251" s="13">
        <f t="shared" si="36"/>
        <v>0</v>
      </c>
      <c r="F251" s="13">
        <f>ROUND(6434000,2)</f>
        <v>6434000</v>
      </c>
      <c r="G251" s="13">
        <f>ROUND(2442600,2)</f>
        <v>2442600</v>
      </c>
      <c r="H251" s="13">
        <f>ROUND(1494002.17,2)</f>
        <v>1494002.17</v>
      </c>
      <c r="I251" s="13">
        <f t="shared" si="37"/>
        <v>0</v>
      </c>
      <c r="J251" s="13">
        <f>ROUND(1030756.53,2)</f>
        <v>1030756.53</v>
      </c>
      <c r="K251" s="13">
        <f>ROUND(463245.64,2)</f>
        <v>463245.64</v>
      </c>
    </row>
    <row r="252" spans="1:11" ht="23.25">
      <c r="A252" s="11" t="s">
        <v>387</v>
      </c>
      <c r="B252" s="12" t="s">
        <v>286</v>
      </c>
      <c r="C252" s="12" t="s">
        <v>238</v>
      </c>
      <c r="D252" s="13">
        <f>ROUND(3608750,2)</f>
        <v>3608750</v>
      </c>
      <c r="E252" s="13">
        <f t="shared" si="36"/>
        <v>0</v>
      </c>
      <c r="F252" s="13">
        <f>ROUND(1741200,2)</f>
        <v>1741200</v>
      </c>
      <c r="G252" s="13">
        <f>ROUND(1867550,2)</f>
        <v>1867550</v>
      </c>
      <c r="H252" s="13">
        <f>ROUND(1312764.45,2)</f>
        <v>1312764.45</v>
      </c>
      <c r="I252" s="13">
        <f t="shared" si="37"/>
        <v>0</v>
      </c>
      <c r="J252" s="13">
        <f>ROUND(774332.6,2)</f>
        <v>774332.6</v>
      </c>
      <c r="K252" s="13">
        <f>ROUND(538431.85,2)</f>
        <v>538431.85</v>
      </c>
    </row>
    <row r="253" spans="1:11" ht="23.25">
      <c r="A253" s="11" t="s">
        <v>831</v>
      </c>
      <c r="B253" s="12" t="s">
        <v>856</v>
      </c>
      <c r="C253" s="12" t="s">
        <v>631</v>
      </c>
      <c r="D253" s="13">
        <f>ROUND(119150,2)</f>
        <v>119150</v>
      </c>
      <c r="E253" s="13">
        <f t="shared" si="36"/>
        <v>0</v>
      </c>
      <c r="F253" s="13">
        <f>ROUND(101300,2)</f>
        <v>101300</v>
      </c>
      <c r="G253" s="13">
        <f>ROUND(17850,2)</f>
        <v>17850</v>
      </c>
      <c r="H253" s="13">
        <f>ROUND(21344.91,2)</f>
        <v>21344.91</v>
      </c>
      <c r="I253" s="13">
        <f t="shared" si="37"/>
        <v>0</v>
      </c>
      <c r="J253" s="13">
        <f>ROUND(15492.39,2)</f>
        <v>15492.39</v>
      </c>
      <c r="K253" s="13">
        <f>ROUND(5852.52,2)</f>
        <v>5852.52</v>
      </c>
    </row>
    <row r="254" spans="1:11" ht="23.25">
      <c r="A254" s="11" t="s">
        <v>436</v>
      </c>
      <c r="B254" s="12" t="s">
        <v>429</v>
      </c>
      <c r="C254" s="12" t="s">
        <v>454</v>
      </c>
      <c r="D254" s="13">
        <f>ROUND(20500,2)</f>
        <v>20500</v>
      </c>
      <c r="E254" s="13">
        <f t="shared" si="36"/>
        <v>0</v>
      </c>
      <c r="F254" s="13">
        <f>ROUND(2500,2)</f>
        <v>2500</v>
      </c>
      <c r="G254" s="13">
        <f>ROUND(18000,2)</f>
        <v>18000</v>
      </c>
      <c r="H254" s="13">
        <f>ROUND(0,2)</f>
        <v>0</v>
      </c>
      <c r="I254" s="13">
        <f t="shared" si="37"/>
        <v>0</v>
      </c>
      <c r="J254" s="13">
        <f>ROUND(0,2)</f>
        <v>0</v>
      </c>
      <c r="K254" s="13">
        <f>ROUND(0,2)</f>
        <v>0</v>
      </c>
    </row>
    <row r="255" spans="1:11" ht="23.25">
      <c r="A255" s="11" t="s">
        <v>1026</v>
      </c>
      <c r="B255" s="12" t="s">
        <v>1024</v>
      </c>
      <c r="C255" s="12" t="s">
        <v>866</v>
      </c>
      <c r="D255" s="13">
        <f>ROUND(2141100,2)</f>
        <v>2141100</v>
      </c>
      <c r="E255" s="13">
        <f t="shared" si="36"/>
        <v>0</v>
      </c>
      <c r="F255" s="13">
        <f>ROUND(1188400,2)</f>
        <v>1188400</v>
      </c>
      <c r="G255" s="13">
        <f>ROUND(952700,2)</f>
        <v>952700</v>
      </c>
      <c r="H255" s="13">
        <f>ROUND(905619.08,2)</f>
        <v>905619.08</v>
      </c>
      <c r="I255" s="13">
        <f t="shared" si="37"/>
        <v>0</v>
      </c>
      <c r="J255" s="13">
        <f>ROUND(599188.06,2)</f>
        <v>599188.06</v>
      </c>
      <c r="K255" s="13">
        <f>ROUND(306431.02,2)</f>
        <v>306431.02</v>
      </c>
    </row>
    <row r="256" spans="1:11" ht="34.5">
      <c r="A256" s="11" t="s">
        <v>861</v>
      </c>
      <c r="B256" s="12" t="s">
        <v>836</v>
      </c>
      <c r="C256" s="12" t="s">
        <v>695</v>
      </c>
      <c r="D256" s="13">
        <f>ROUND(869900,2)</f>
        <v>869900</v>
      </c>
      <c r="E256" s="13">
        <f t="shared" si="36"/>
        <v>0</v>
      </c>
      <c r="F256" s="13">
        <f>ROUND(129000,2)</f>
        <v>129000</v>
      </c>
      <c r="G256" s="13">
        <f>ROUND(740900,2)</f>
        <v>740900</v>
      </c>
      <c r="H256" s="13">
        <f>ROUND(229806.32,2)</f>
        <v>229806.32</v>
      </c>
      <c r="I256" s="13">
        <f t="shared" si="37"/>
        <v>0</v>
      </c>
      <c r="J256" s="13">
        <f>ROUND(52160.06,2)</f>
        <v>52160.06</v>
      </c>
      <c r="K256" s="13">
        <f>ROUND(177646.26,2)</f>
        <v>177646.26</v>
      </c>
    </row>
    <row r="257" spans="1:11" ht="23.25">
      <c r="A257" s="11" t="s">
        <v>266</v>
      </c>
      <c r="B257" s="12" t="s">
        <v>462</v>
      </c>
      <c r="C257" s="12" t="s">
        <v>736</v>
      </c>
      <c r="D257" s="13">
        <f>ROUND(458100,2)</f>
        <v>458100</v>
      </c>
      <c r="E257" s="13">
        <f t="shared" si="36"/>
        <v>0</v>
      </c>
      <c r="F257" s="13">
        <f>ROUND(320000,2)</f>
        <v>320000</v>
      </c>
      <c r="G257" s="13">
        <f>ROUND(138100,2)</f>
        <v>138100</v>
      </c>
      <c r="H257" s="13">
        <f>ROUND(155994.14,2)</f>
        <v>155994.14</v>
      </c>
      <c r="I257" s="13">
        <f t="shared" si="37"/>
        <v>0</v>
      </c>
      <c r="J257" s="13">
        <f>ROUND(107492.09,2)</f>
        <v>107492.09</v>
      </c>
      <c r="K257" s="13">
        <f>ROUND(48502.05,2)</f>
        <v>48502.05</v>
      </c>
    </row>
    <row r="258" spans="1:11" ht="34.5">
      <c r="A258" s="11" t="s">
        <v>768</v>
      </c>
      <c r="B258" s="12" t="s">
        <v>516</v>
      </c>
      <c r="C258" s="12" t="s">
        <v>215</v>
      </c>
      <c r="D258" s="13">
        <f>ROUND(0,2)</f>
        <v>0</v>
      </c>
      <c r="E258" s="13">
        <f>ROUND(13495600,2)</f>
        <v>13495600</v>
      </c>
      <c r="F258" s="13">
        <f>ROUND(13495600,2)</f>
        <v>13495600</v>
      </c>
      <c r="G258" s="13">
        <f>ROUND(0,2)</f>
        <v>0</v>
      </c>
      <c r="H258" s="13">
        <f>ROUND(0,2)</f>
        <v>0</v>
      </c>
      <c r="I258" s="13">
        <f>ROUND(2946800,2)</f>
        <v>2946800</v>
      </c>
      <c r="J258" s="13">
        <f>ROUND(2946800,2)</f>
        <v>2946800</v>
      </c>
      <c r="K258" s="13">
        <f>ROUND(0,2)</f>
        <v>0</v>
      </c>
    </row>
    <row r="259" spans="1:11" ht="68.25">
      <c r="A259" s="11" t="s">
        <v>25</v>
      </c>
      <c r="B259" s="12" t="s">
        <v>94</v>
      </c>
      <c r="C259" s="12" t="s">
        <v>1033</v>
      </c>
      <c r="D259" s="13">
        <f>ROUND(0,2)</f>
        <v>0</v>
      </c>
      <c r="E259" s="13">
        <f>ROUND(13495600,2)</f>
        <v>13495600</v>
      </c>
      <c r="F259" s="13">
        <f>ROUND(13495600,2)</f>
        <v>13495600</v>
      </c>
      <c r="G259" s="13">
        <f>ROUND(0,2)</f>
        <v>0</v>
      </c>
      <c r="H259" s="13">
        <f>ROUND(0,2)</f>
        <v>0</v>
      </c>
      <c r="I259" s="13">
        <f>ROUND(2946800,2)</f>
        <v>2946800</v>
      </c>
      <c r="J259" s="13">
        <f>ROUND(2946800,2)</f>
        <v>2946800</v>
      </c>
      <c r="K259" s="13">
        <f>ROUND(0,2)</f>
        <v>0</v>
      </c>
    </row>
    <row r="260" spans="1:11" ht="23.25">
      <c r="A260" s="11" t="s">
        <v>306</v>
      </c>
      <c r="B260" s="12" t="s">
        <v>577</v>
      </c>
      <c r="C260" s="12" t="s">
        <v>961</v>
      </c>
      <c r="D260" s="13">
        <f>ROUND(32205,2)</f>
        <v>32205</v>
      </c>
      <c r="E260" s="13">
        <f>ROUND(0,2)</f>
        <v>0</v>
      </c>
      <c r="F260" s="13">
        <f>ROUND(22000,2)</f>
        <v>22000</v>
      </c>
      <c r="G260" s="13">
        <f>ROUND(10205,2)</f>
        <v>10205</v>
      </c>
      <c r="H260" s="13">
        <f>ROUND(6726.43,2)</f>
        <v>6726.43</v>
      </c>
      <c r="I260" s="13">
        <f>ROUND(0,2)</f>
        <v>0</v>
      </c>
      <c r="J260" s="13">
        <f>ROUND(5838.45,2)</f>
        <v>5838.45</v>
      </c>
      <c r="K260" s="13">
        <f>ROUND(887.98,2)</f>
        <v>887.98</v>
      </c>
    </row>
    <row r="261" spans="1:11" ht="34.5">
      <c r="A261" s="11" t="s">
        <v>951</v>
      </c>
      <c r="B261" s="12" t="s">
        <v>984</v>
      </c>
      <c r="C261" s="12" t="s">
        <v>795</v>
      </c>
      <c r="D261" s="13">
        <f>ROUND(9583245,2)</f>
        <v>9583245</v>
      </c>
      <c r="E261" s="13">
        <f>ROUND(0,2)</f>
        <v>0</v>
      </c>
      <c r="F261" s="13">
        <f>ROUND(7395600,2)</f>
        <v>7395600</v>
      </c>
      <c r="G261" s="13">
        <f>ROUND(2187645,2)</f>
        <v>2187645</v>
      </c>
      <c r="H261" s="13">
        <f>ROUND(1854796.08,2)</f>
        <v>1854796.08</v>
      </c>
      <c r="I261" s="13">
        <f>ROUND(0,2)</f>
        <v>0</v>
      </c>
      <c r="J261" s="13">
        <f>ROUND(1377060,2)</f>
        <v>1377060</v>
      </c>
      <c r="K261" s="13">
        <f>ROUND(477736.08,2)</f>
        <v>477736.08</v>
      </c>
    </row>
    <row r="262" spans="1:11" ht="34.5">
      <c r="A262" s="11" t="s">
        <v>506</v>
      </c>
      <c r="B262" s="12" t="s">
        <v>722</v>
      </c>
      <c r="C262" s="12" t="s">
        <v>953</v>
      </c>
      <c r="D262" s="13">
        <f>ROUND(110000,2)</f>
        <v>110000</v>
      </c>
      <c r="E262" s="13">
        <f>ROUND(0,2)</f>
        <v>0</v>
      </c>
      <c r="F262" s="13">
        <f>ROUND(10000,2)</f>
        <v>10000</v>
      </c>
      <c r="G262" s="13">
        <f>ROUND(100000,2)</f>
        <v>100000</v>
      </c>
      <c r="H262" s="13">
        <f>ROUND(38860.03,2)</f>
        <v>38860.03</v>
      </c>
      <c r="I262" s="13">
        <f>ROUND(0,2)</f>
        <v>0</v>
      </c>
      <c r="J262" s="13">
        <f>ROUND(5564.03,2)</f>
        <v>5564.03</v>
      </c>
      <c r="K262" s="13">
        <f>ROUND(33296,2)</f>
        <v>33296</v>
      </c>
    </row>
    <row r="263" spans="1:11" ht="45.75">
      <c r="A263" s="11" t="s">
        <v>800</v>
      </c>
      <c r="B263" s="12" t="s">
        <v>1006</v>
      </c>
      <c r="C263" s="12" t="s">
        <v>745</v>
      </c>
      <c r="D263" s="13">
        <f>ROUND(9473245,2)</f>
        <v>9473245</v>
      </c>
      <c r="E263" s="13">
        <f>ROUND(0,2)</f>
        <v>0</v>
      </c>
      <c r="F263" s="13">
        <f>ROUND(7385600,2)</f>
        <v>7385600</v>
      </c>
      <c r="G263" s="13">
        <f>ROUND(2087645,2)</f>
        <v>2087645</v>
      </c>
      <c r="H263" s="13">
        <f>ROUND(1815936.05,2)</f>
        <v>1815936.05</v>
      </c>
      <c r="I263" s="13">
        <f>ROUND(0,2)</f>
        <v>0</v>
      </c>
      <c r="J263" s="13">
        <f>ROUND(1371495.97,2)</f>
        <v>1371495.97</v>
      </c>
      <c r="K263" s="13">
        <f>ROUND(444440.08,2)</f>
        <v>444440.08</v>
      </c>
    </row>
    <row r="264" spans="1:11" ht="23.25">
      <c r="A264" s="11" t="s">
        <v>150</v>
      </c>
      <c r="B264" s="12" t="s">
        <v>393</v>
      </c>
      <c r="C264" s="12" t="s">
        <v>423</v>
      </c>
      <c r="D264" s="13">
        <f>ROUND(210517738,2)</f>
        <v>210517738</v>
      </c>
      <c r="E264" s="13">
        <f>ROUND(29209290,2)</f>
        <v>29209290</v>
      </c>
      <c r="F264" s="13">
        <f>ROUND(210517738,2)</f>
        <v>210517738</v>
      </c>
      <c r="G264" s="13">
        <f>ROUND(29209290,2)</f>
        <v>29209290</v>
      </c>
      <c r="H264" s="13">
        <f>ROUND(45815667.66,2)</f>
        <v>45815667.66</v>
      </c>
      <c r="I264" s="13">
        <f>ROUND(6739488.73,2)</f>
        <v>6739488.73</v>
      </c>
      <c r="J264" s="13">
        <f>ROUND(46627159.39,2)</f>
        <v>46627159.39</v>
      </c>
      <c r="K264" s="13">
        <f>ROUND(5927997,2)</f>
        <v>5927997</v>
      </c>
    </row>
    <row r="265" spans="1:11" ht="23.25">
      <c r="A265" s="11" t="s">
        <v>638</v>
      </c>
      <c r="B265" s="12" t="s">
        <v>47</v>
      </c>
      <c r="C265" s="12" t="s">
        <v>99</v>
      </c>
      <c r="D265" s="13">
        <f>ROUND(187245804,2)</f>
        <v>187245804</v>
      </c>
      <c r="E265" s="13">
        <f>ROUND(29209290,2)</f>
        <v>29209290</v>
      </c>
      <c r="F265" s="13">
        <f>ROUND(190793519,2)</f>
        <v>190793519</v>
      </c>
      <c r="G265" s="13">
        <f>ROUND(25661575,2)</f>
        <v>25661575</v>
      </c>
      <c r="H265" s="13">
        <f>ROUND(41817185.26,2)</f>
        <v>41817185.26</v>
      </c>
      <c r="I265" s="13">
        <f>ROUND(6739488.73,2)</f>
        <v>6739488.73</v>
      </c>
      <c r="J265" s="13">
        <f>ROUND(43073462.71,2)</f>
        <v>43073462.71</v>
      </c>
      <c r="K265" s="13">
        <f>ROUND(5483211.28,2)</f>
        <v>5483211.28</v>
      </c>
    </row>
    <row r="266" spans="1:11" ht="45.75">
      <c r="A266" s="11" t="s">
        <v>42</v>
      </c>
      <c r="B266" s="12" t="s">
        <v>325</v>
      </c>
      <c r="C266" s="12" t="s">
        <v>801</v>
      </c>
      <c r="D266" s="13">
        <f>ROUND(159298800,2)</f>
        <v>159298800</v>
      </c>
      <c r="E266" s="13">
        <f aca="true" t="shared" si="38" ref="E266:E275">ROUND(0,2)</f>
        <v>0</v>
      </c>
      <c r="F266" s="13">
        <f>ROUND(137618548,2)</f>
        <v>137618548</v>
      </c>
      <c r="G266" s="13">
        <f>ROUND(21680252,2)</f>
        <v>21680252</v>
      </c>
      <c r="H266" s="13">
        <f>ROUND(35979112.36,2)</f>
        <v>35979112.36</v>
      </c>
      <c r="I266" s="13">
        <f aca="true" t="shared" si="39" ref="I266:I275">ROUND(0,2)</f>
        <v>0</v>
      </c>
      <c r="J266" s="13">
        <f>ROUND(31455230.81,2)</f>
        <v>31455230.81</v>
      </c>
      <c r="K266" s="13">
        <f>ROUND(4523881.55,2)</f>
        <v>4523881.55</v>
      </c>
    </row>
    <row r="267" spans="1:11" ht="23.25">
      <c r="A267" s="11" t="s">
        <v>678</v>
      </c>
      <c r="B267" s="12" t="s">
        <v>884</v>
      </c>
      <c r="C267" s="12" t="s">
        <v>189</v>
      </c>
      <c r="D267" s="13">
        <f>ROUND(121922700,2)</f>
        <v>121922700</v>
      </c>
      <c r="E267" s="13">
        <f t="shared" si="38"/>
        <v>0</v>
      </c>
      <c r="F267" s="13">
        <f>ROUND(105318820,2)</f>
        <v>105318820</v>
      </c>
      <c r="G267" s="13">
        <f>ROUND(16603880,2)</f>
        <v>16603880</v>
      </c>
      <c r="H267" s="13">
        <f>ROUND(28204777.19,2)</f>
        <v>28204777.19</v>
      </c>
      <c r="I267" s="13">
        <f t="shared" si="39"/>
        <v>0</v>
      </c>
      <c r="J267" s="13">
        <f>ROUND(24682175.66,2)</f>
        <v>24682175.66</v>
      </c>
      <c r="K267" s="13">
        <f>ROUND(3522601.53,2)</f>
        <v>3522601.53</v>
      </c>
    </row>
    <row r="268" spans="1:11" ht="23.25">
      <c r="A268" s="11" t="s">
        <v>248</v>
      </c>
      <c r="B268" s="12" t="s">
        <v>403</v>
      </c>
      <c r="C268" s="12" t="s">
        <v>288</v>
      </c>
      <c r="D268" s="13">
        <f>ROUND(555900,2)</f>
        <v>555900</v>
      </c>
      <c r="E268" s="13">
        <f t="shared" si="38"/>
        <v>0</v>
      </c>
      <c r="F268" s="13">
        <f>ROUND(493900,2)</f>
        <v>493900</v>
      </c>
      <c r="G268" s="13">
        <f>ROUND(62000,2)</f>
        <v>62000</v>
      </c>
      <c r="H268" s="13">
        <f>ROUND(112000,2)</f>
        <v>112000</v>
      </c>
      <c r="I268" s="13">
        <f t="shared" si="39"/>
        <v>0</v>
      </c>
      <c r="J268" s="13">
        <f>ROUND(99300,2)</f>
        <v>99300</v>
      </c>
      <c r="K268" s="13">
        <f>ROUND(12700,2)</f>
        <v>12700</v>
      </c>
    </row>
    <row r="269" spans="1:11" ht="34.5">
      <c r="A269" s="11" t="s">
        <v>537</v>
      </c>
      <c r="B269" s="12" t="s">
        <v>1000</v>
      </c>
      <c r="C269" s="12" t="s">
        <v>122</v>
      </c>
      <c r="D269" s="13">
        <f>ROUND(36820200,2)</f>
        <v>36820200</v>
      </c>
      <c r="E269" s="13">
        <f t="shared" si="38"/>
        <v>0</v>
      </c>
      <c r="F269" s="13">
        <f>ROUND(31805828,2)</f>
        <v>31805828</v>
      </c>
      <c r="G269" s="13">
        <f>ROUND(5014372,2)</f>
        <v>5014372</v>
      </c>
      <c r="H269" s="13">
        <f>ROUND(7662335.17,2)</f>
        <v>7662335.17</v>
      </c>
      <c r="I269" s="13">
        <f t="shared" si="39"/>
        <v>0</v>
      </c>
      <c r="J269" s="13">
        <f>ROUND(6673755.15,2)</f>
        <v>6673755.15</v>
      </c>
      <c r="K269" s="13">
        <f>ROUND(988580.02,2)</f>
        <v>988580.02</v>
      </c>
    </row>
    <row r="270" spans="1:11" ht="23.25">
      <c r="A270" s="11" t="s">
        <v>66</v>
      </c>
      <c r="B270" s="12" t="s">
        <v>571</v>
      </c>
      <c r="C270" s="12" t="s">
        <v>238</v>
      </c>
      <c r="D270" s="13">
        <f>ROUND(27782604,2)</f>
        <v>27782604</v>
      </c>
      <c r="E270" s="13">
        <f t="shared" si="38"/>
        <v>0</v>
      </c>
      <c r="F270" s="13">
        <f>ROUND(23808481,2)</f>
        <v>23808481</v>
      </c>
      <c r="G270" s="13">
        <f>ROUND(3974123,2)</f>
        <v>3974123</v>
      </c>
      <c r="H270" s="13">
        <f>ROUND(5742070.52,2)</f>
        <v>5742070.52</v>
      </c>
      <c r="I270" s="13">
        <f t="shared" si="39"/>
        <v>0</v>
      </c>
      <c r="J270" s="13">
        <f>ROUND(4787480.21,2)</f>
        <v>4787480.21</v>
      </c>
      <c r="K270" s="13">
        <f>ROUND(954590.31,2)</f>
        <v>954590.31</v>
      </c>
    </row>
    <row r="271" spans="1:11" ht="23.25">
      <c r="A271" s="11" t="s">
        <v>527</v>
      </c>
      <c r="B271" s="12" t="s">
        <v>106</v>
      </c>
      <c r="C271" s="12" t="s">
        <v>631</v>
      </c>
      <c r="D271" s="13">
        <f>ROUND(1191400,2)</f>
        <v>1191400</v>
      </c>
      <c r="E271" s="13">
        <f t="shared" si="38"/>
        <v>0</v>
      </c>
      <c r="F271" s="13">
        <f>ROUND(1089100,2)</f>
        <v>1089100</v>
      </c>
      <c r="G271" s="13">
        <f>ROUND(102300,2)</f>
        <v>102300</v>
      </c>
      <c r="H271" s="13">
        <f>ROUND(193221.6,2)</f>
        <v>193221.6</v>
      </c>
      <c r="I271" s="13">
        <f t="shared" si="39"/>
        <v>0</v>
      </c>
      <c r="J271" s="13">
        <f>ROUND(175886.04,2)</f>
        <v>175886.04</v>
      </c>
      <c r="K271" s="13">
        <f>ROUND(17335.56,2)</f>
        <v>17335.56</v>
      </c>
    </row>
    <row r="272" spans="1:11" ht="23.25">
      <c r="A272" s="11" t="s">
        <v>78</v>
      </c>
      <c r="B272" s="12" t="s">
        <v>650</v>
      </c>
      <c r="C272" s="12" t="s">
        <v>454</v>
      </c>
      <c r="D272" s="13">
        <f>ROUND(114645,2)</f>
        <v>114645</v>
      </c>
      <c r="E272" s="13">
        <f t="shared" si="38"/>
        <v>0</v>
      </c>
      <c r="F272" s="13">
        <f>ROUND(79000,2)</f>
        <v>79000</v>
      </c>
      <c r="G272" s="13">
        <f>ROUND(35645,2)</f>
        <v>35645</v>
      </c>
      <c r="H272" s="13">
        <f>ROUND(15017.94,2)</f>
        <v>15017.94</v>
      </c>
      <c r="I272" s="13">
        <f t="shared" si="39"/>
        <v>0</v>
      </c>
      <c r="J272" s="13">
        <f>ROUND(14372.94,2)</f>
        <v>14372.94</v>
      </c>
      <c r="K272" s="13">
        <f>ROUND(645,2)</f>
        <v>645</v>
      </c>
    </row>
    <row r="273" spans="1:11" ht="23.25">
      <c r="A273" s="11" t="s">
        <v>500</v>
      </c>
      <c r="B273" s="12" t="s">
        <v>216</v>
      </c>
      <c r="C273" s="12" t="s">
        <v>866</v>
      </c>
      <c r="D273" s="13">
        <f>ROUND(10176921,2)</f>
        <v>10176921</v>
      </c>
      <c r="E273" s="13">
        <f t="shared" si="38"/>
        <v>0</v>
      </c>
      <c r="F273" s="13">
        <f>ROUND(8475271,2)</f>
        <v>8475271</v>
      </c>
      <c r="G273" s="13">
        <f>ROUND(1701650,2)</f>
        <v>1701650</v>
      </c>
      <c r="H273" s="13">
        <f>ROUND(4006043.91,2)</f>
        <v>4006043.91</v>
      </c>
      <c r="I273" s="13">
        <f t="shared" si="39"/>
        <v>0</v>
      </c>
      <c r="J273" s="13">
        <f>ROUND(3356335.38,2)</f>
        <v>3356335.38</v>
      </c>
      <c r="K273" s="13">
        <f>ROUND(649708.53,2)</f>
        <v>649708.53</v>
      </c>
    </row>
    <row r="274" spans="1:11" ht="34.5">
      <c r="A274" s="11" t="s">
        <v>345</v>
      </c>
      <c r="B274" s="12" t="s">
        <v>12</v>
      </c>
      <c r="C274" s="12" t="s">
        <v>695</v>
      </c>
      <c r="D274" s="13">
        <f>ROUND(12161618,2)</f>
        <v>12161618</v>
      </c>
      <c r="E274" s="13">
        <f t="shared" si="38"/>
        <v>0</v>
      </c>
      <c r="F274" s="13">
        <f>ROUND(10515700,2)</f>
        <v>10515700</v>
      </c>
      <c r="G274" s="13">
        <f>ROUND(1645918,2)</f>
        <v>1645918</v>
      </c>
      <c r="H274" s="13">
        <f>ROUND(433183.07,2)</f>
        <v>433183.07</v>
      </c>
      <c r="I274" s="13">
        <f t="shared" si="39"/>
        <v>0</v>
      </c>
      <c r="J274" s="13">
        <f>ROUND(292022.76,2)</f>
        <v>292022.76</v>
      </c>
      <c r="K274" s="13">
        <f>ROUND(141160.31,2)</f>
        <v>141160.31</v>
      </c>
    </row>
    <row r="275" spans="1:11" ht="23.25">
      <c r="A275" s="11" t="s">
        <v>809</v>
      </c>
      <c r="B275" s="12" t="s">
        <v>753</v>
      </c>
      <c r="C275" s="12" t="s">
        <v>736</v>
      </c>
      <c r="D275" s="13">
        <f>ROUND(4138020,2)</f>
        <v>4138020</v>
      </c>
      <c r="E275" s="13">
        <f t="shared" si="38"/>
        <v>0</v>
      </c>
      <c r="F275" s="13">
        <f>ROUND(3649410,2)</f>
        <v>3649410</v>
      </c>
      <c r="G275" s="13">
        <f>ROUND(488610,2)</f>
        <v>488610</v>
      </c>
      <c r="H275" s="13">
        <f>ROUND(1094604,2)</f>
        <v>1094604</v>
      </c>
      <c r="I275" s="13">
        <f t="shared" si="39"/>
        <v>0</v>
      </c>
      <c r="J275" s="13">
        <f>ROUND(948863.09,2)</f>
        <v>948863.09</v>
      </c>
      <c r="K275" s="13">
        <f>ROUND(145740.91,2)</f>
        <v>145740.91</v>
      </c>
    </row>
    <row r="276" spans="1:11" ht="34.5">
      <c r="A276" s="11" t="s">
        <v>259</v>
      </c>
      <c r="B276" s="12" t="s">
        <v>312</v>
      </c>
      <c r="C276" s="12" t="s">
        <v>215</v>
      </c>
      <c r="D276" s="13">
        <f>ROUND(0,2)</f>
        <v>0</v>
      </c>
      <c r="E276" s="13">
        <f>ROUND(29209290,2)</f>
        <v>29209290</v>
      </c>
      <c r="F276" s="13">
        <f>ROUND(29209290,2)</f>
        <v>29209290</v>
      </c>
      <c r="G276" s="13">
        <f>ROUND(0,2)</f>
        <v>0</v>
      </c>
      <c r="H276" s="13">
        <f>ROUND(0,2)</f>
        <v>0</v>
      </c>
      <c r="I276" s="13">
        <f>ROUND(6739488.73,2)</f>
        <v>6739488.73</v>
      </c>
      <c r="J276" s="13">
        <f>ROUND(6739488.73,2)</f>
        <v>6739488.73</v>
      </c>
      <c r="K276" s="13">
        <f>ROUND(0,2)</f>
        <v>0</v>
      </c>
    </row>
    <row r="277" spans="1:11" ht="68.25">
      <c r="A277" s="11" t="s">
        <v>682</v>
      </c>
      <c r="B277" s="12" t="s">
        <v>905</v>
      </c>
      <c r="C277" s="12" t="s">
        <v>1033</v>
      </c>
      <c r="D277" s="13">
        <f>ROUND(0,2)</f>
        <v>0</v>
      </c>
      <c r="E277" s="13">
        <f>ROUND(29209290,2)</f>
        <v>29209290</v>
      </c>
      <c r="F277" s="13">
        <f>ROUND(29209290,2)</f>
        <v>29209290</v>
      </c>
      <c r="G277" s="13">
        <f>ROUND(0,2)</f>
        <v>0</v>
      </c>
      <c r="H277" s="13">
        <f>ROUND(0,2)</f>
        <v>0</v>
      </c>
      <c r="I277" s="13">
        <f>ROUND(6739488.73,2)</f>
        <v>6739488.73</v>
      </c>
      <c r="J277" s="13">
        <f>ROUND(6739488.73,2)</f>
        <v>6739488.73</v>
      </c>
      <c r="K277" s="13">
        <f>ROUND(0,2)</f>
        <v>0</v>
      </c>
    </row>
    <row r="278" spans="1:11" ht="23.25">
      <c r="A278" s="11" t="s">
        <v>45</v>
      </c>
      <c r="B278" s="12" t="s">
        <v>289</v>
      </c>
      <c r="C278" s="12" t="s">
        <v>961</v>
      </c>
      <c r="D278" s="13">
        <f>ROUND(164400,2)</f>
        <v>164400</v>
      </c>
      <c r="E278" s="13">
        <f aca="true" t="shared" si="40" ref="E278:E300">ROUND(0,2)</f>
        <v>0</v>
      </c>
      <c r="F278" s="13">
        <f>ROUND(157200,2)</f>
        <v>157200</v>
      </c>
      <c r="G278" s="13">
        <f>ROUND(7200,2)</f>
        <v>7200</v>
      </c>
      <c r="H278" s="13">
        <f>ROUND(96002.38,2)</f>
        <v>96002.38</v>
      </c>
      <c r="I278" s="13">
        <f aca="true" t="shared" si="41" ref="I278:I309">ROUND(0,2)</f>
        <v>0</v>
      </c>
      <c r="J278" s="13">
        <f>ROUND(91262.96,2)</f>
        <v>91262.96</v>
      </c>
      <c r="K278" s="13">
        <f>ROUND(4739.42,2)</f>
        <v>4739.42</v>
      </c>
    </row>
    <row r="279" spans="1:11" ht="34.5">
      <c r="A279" s="11" t="s">
        <v>633</v>
      </c>
      <c r="B279" s="12" t="s">
        <v>228</v>
      </c>
      <c r="C279" s="12" t="s">
        <v>795</v>
      </c>
      <c r="D279" s="13">
        <f>ROUND(23271934,2)</f>
        <v>23271934</v>
      </c>
      <c r="E279" s="13">
        <f t="shared" si="40"/>
        <v>0</v>
      </c>
      <c r="F279" s="13">
        <f>ROUND(19724219,2)</f>
        <v>19724219</v>
      </c>
      <c r="G279" s="13">
        <f>ROUND(3547715,2)</f>
        <v>3547715</v>
      </c>
      <c r="H279" s="13">
        <f>ROUND(3998482.4,2)</f>
        <v>3998482.4</v>
      </c>
      <c r="I279" s="13">
        <f t="shared" si="41"/>
        <v>0</v>
      </c>
      <c r="J279" s="13">
        <f>ROUND(3553696.68,2)</f>
        <v>3553696.68</v>
      </c>
      <c r="K279" s="13">
        <f>ROUND(444785.72,2)</f>
        <v>444785.72</v>
      </c>
    </row>
    <row r="280" spans="1:11" ht="34.5">
      <c r="A280" s="11" t="s">
        <v>895</v>
      </c>
      <c r="B280" s="12" t="s">
        <v>485</v>
      </c>
      <c r="C280" s="12" t="s">
        <v>953</v>
      </c>
      <c r="D280" s="13">
        <f>ROUND(5417420,2)</f>
        <v>5417420</v>
      </c>
      <c r="E280" s="13">
        <f t="shared" si="40"/>
        <v>0</v>
      </c>
      <c r="F280" s="13">
        <f>ROUND(4153600,2)</f>
        <v>4153600</v>
      </c>
      <c r="G280" s="13">
        <f>ROUND(1263820,2)</f>
        <v>1263820</v>
      </c>
      <c r="H280" s="13">
        <f>ROUND(780019,2)</f>
        <v>780019</v>
      </c>
      <c r="I280" s="13">
        <f t="shared" si="41"/>
        <v>0</v>
      </c>
      <c r="J280" s="13">
        <f>ROUND(586609,2)</f>
        <v>586609</v>
      </c>
      <c r="K280" s="13">
        <f>ROUND(193410,2)</f>
        <v>193410</v>
      </c>
    </row>
    <row r="281" spans="1:11" ht="45.75">
      <c r="A281" s="11" t="s">
        <v>398</v>
      </c>
      <c r="B281" s="12" t="s">
        <v>242</v>
      </c>
      <c r="C281" s="12" t="s">
        <v>745</v>
      </c>
      <c r="D281" s="13">
        <f>ROUND(17854514,2)</f>
        <v>17854514</v>
      </c>
      <c r="E281" s="13">
        <f t="shared" si="40"/>
        <v>0</v>
      </c>
      <c r="F281" s="13">
        <f>ROUND(15570619,2)</f>
        <v>15570619</v>
      </c>
      <c r="G281" s="13">
        <f>ROUND(2283895,2)</f>
        <v>2283895</v>
      </c>
      <c r="H281" s="13">
        <f>ROUND(3218463.4,2)</f>
        <v>3218463.4</v>
      </c>
      <c r="I281" s="13">
        <f t="shared" si="41"/>
        <v>0</v>
      </c>
      <c r="J281" s="13">
        <f>ROUND(2967087.68,2)</f>
        <v>2967087.68</v>
      </c>
      <c r="K281" s="13">
        <f>ROUND(251375.72,2)</f>
        <v>251375.72</v>
      </c>
    </row>
    <row r="282" spans="1:11" ht="45.75">
      <c r="A282" s="11" t="s">
        <v>727</v>
      </c>
      <c r="B282" s="12" t="s">
        <v>502</v>
      </c>
      <c r="C282" s="12" t="s">
        <v>83</v>
      </c>
      <c r="D282" s="13">
        <f>ROUND(430000,2)</f>
        <v>430000</v>
      </c>
      <c r="E282" s="13">
        <f t="shared" si="40"/>
        <v>0</v>
      </c>
      <c r="F282" s="13">
        <f>ROUND(430000,2)</f>
        <v>430000</v>
      </c>
      <c r="G282" s="13">
        <f aca="true" t="shared" si="42" ref="G282:G300">ROUND(0,2)</f>
        <v>0</v>
      </c>
      <c r="H282" s="13">
        <f>ROUND(40100,2)</f>
        <v>40100</v>
      </c>
      <c r="I282" s="13">
        <f t="shared" si="41"/>
        <v>0</v>
      </c>
      <c r="J282" s="13">
        <f>ROUND(40100,2)</f>
        <v>40100</v>
      </c>
      <c r="K282" s="13">
        <f aca="true" t="shared" si="43" ref="K282:K300">ROUND(0,2)</f>
        <v>0</v>
      </c>
    </row>
    <row r="283" spans="1:11" ht="23.25">
      <c r="A283" s="11" t="s">
        <v>142</v>
      </c>
      <c r="B283" s="12" t="s">
        <v>59</v>
      </c>
      <c r="C283" s="12" t="s">
        <v>99</v>
      </c>
      <c r="D283" s="13">
        <f>ROUND(430000,2)</f>
        <v>430000</v>
      </c>
      <c r="E283" s="13">
        <f t="shared" si="40"/>
        <v>0</v>
      </c>
      <c r="F283" s="13">
        <f>ROUND(430000,2)</f>
        <v>430000</v>
      </c>
      <c r="G283" s="13">
        <f t="shared" si="42"/>
        <v>0</v>
      </c>
      <c r="H283" s="13">
        <f>ROUND(40100,2)</f>
        <v>40100</v>
      </c>
      <c r="I283" s="13">
        <f t="shared" si="41"/>
        <v>0</v>
      </c>
      <c r="J283" s="13">
        <f>ROUND(40100,2)</f>
        <v>40100</v>
      </c>
      <c r="K283" s="13">
        <f t="shared" si="43"/>
        <v>0</v>
      </c>
    </row>
    <row r="284" spans="1:11" ht="23.25">
      <c r="A284" s="11" t="s">
        <v>959</v>
      </c>
      <c r="B284" s="12" t="s">
        <v>604</v>
      </c>
      <c r="C284" s="12" t="s">
        <v>238</v>
      </c>
      <c r="D284" s="13">
        <f>ROUND(430000,2)</f>
        <v>430000</v>
      </c>
      <c r="E284" s="13">
        <f t="shared" si="40"/>
        <v>0</v>
      </c>
      <c r="F284" s="13">
        <f>ROUND(430000,2)</f>
        <v>430000</v>
      </c>
      <c r="G284" s="13">
        <f t="shared" si="42"/>
        <v>0</v>
      </c>
      <c r="H284" s="13">
        <f>ROUND(40100,2)</f>
        <v>40100</v>
      </c>
      <c r="I284" s="13">
        <f t="shared" si="41"/>
        <v>0</v>
      </c>
      <c r="J284" s="13">
        <f>ROUND(40100,2)</f>
        <v>40100</v>
      </c>
      <c r="K284" s="13">
        <f t="shared" si="43"/>
        <v>0</v>
      </c>
    </row>
    <row r="285" spans="1:11" ht="23.25">
      <c r="A285" s="11" t="s">
        <v>1002</v>
      </c>
      <c r="B285" s="12" t="s">
        <v>668</v>
      </c>
      <c r="C285" s="12" t="s">
        <v>736</v>
      </c>
      <c r="D285" s="13">
        <f>ROUND(430000,2)</f>
        <v>430000</v>
      </c>
      <c r="E285" s="13">
        <f t="shared" si="40"/>
        <v>0</v>
      </c>
      <c r="F285" s="13">
        <f>ROUND(430000,2)</f>
        <v>430000</v>
      </c>
      <c r="G285" s="13">
        <f t="shared" si="42"/>
        <v>0</v>
      </c>
      <c r="H285" s="13">
        <f>ROUND(40100,2)</f>
        <v>40100</v>
      </c>
      <c r="I285" s="13">
        <f t="shared" si="41"/>
        <v>0</v>
      </c>
      <c r="J285" s="13">
        <f>ROUND(40100,2)</f>
        <v>40100</v>
      </c>
      <c r="K285" s="13">
        <f t="shared" si="43"/>
        <v>0</v>
      </c>
    </row>
    <row r="286" spans="1:11" ht="34.5">
      <c r="A286" s="11" t="s">
        <v>793</v>
      </c>
      <c r="B286" s="12" t="s">
        <v>100</v>
      </c>
      <c r="C286" s="12" t="s">
        <v>701</v>
      </c>
      <c r="D286" s="13">
        <f>ROUND(33247871,2)</f>
        <v>33247871</v>
      </c>
      <c r="E286" s="13">
        <f t="shared" si="40"/>
        <v>0</v>
      </c>
      <c r="F286" s="13">
        <f>ROUND(33247871,2)</f>
        <v>33247871</v>
      </c>
      <c r="G286" s="13">
        <f t="shared" si="42"/>
        <v>0</v>
      </c>
      <c r="H286" s="13">
        <f>ROUND(4282186.94,2)</f>
        <v>4282186.94</v>
      </c>
      <c r="I286" s="13">
        <f t="shared" si="41"/>
        <v>0</v>
      </c>
      <c r="J286" s="13">
        <f>ROUND(4282186.94,2)</f>
        <v>4282186.94</v>
      </c>
      <c r="K286" s="13">
        <f t="shared" si="43"/>
        <v>0</v>
      </c>
    </row>
    <row r="287" spans="1:11" ht="23.25">
      <c r="A287" s="11" t="s">
        <v>368</v>
      </c>
      <c r="B287" s="12" t="s">
        <v>477</v>
      </c>
      <c r="C287" s="12" t="s">
        <v>99</v>
      </c>
      <c r="D287" s="13">
        <f>ROUND(14799000,2)</f>
        <v>14799000</v>
      </c>
      <c r="E287" s="13">
        <f t="shared" si="40"/>
        <v>0</v>
      </c>
      <c r="F287" s="13">
        <f>ROUND(14799000,2)</f>
        <v>14799000</v>
      </c>
      <c r="G287" s="13">
        <f t="shared" si="42"/>
        <v>0</v>
      </c>
      <c r="H287" s="13">
        <f>ROUND(3279563.99,2)</f>
        <v>3279563.99</v>
      </c>
      <c r="I287" s="13">
        <f t="shared" si="41"/>
        <v>0</v>
      </c>
      <c r="J287" s="13">
        <f>ROUND(3279563.99,2)</f>
        <v>3279563.99</v>
      </c>
      <c r="K287" s="13">
        <f t="shared" si="43"/>
        <v>0</v>
      </c>
    </row>
    <row r="288" spans="1:11" ht="45.75">
      <c r="A288" s="11" t="s">
        <v>818</v>
      </c>
      <c r="B288" s="12" t="s">
        <v>219</v>
      </c>
      <c r="C288" s="12" t="s">
        <v>801</v>
      </c>
      <c r="D288" s="13">
        <f>ROUND(12596700,2)</f>
        <v>12596700</v>
      </c>
      <c r="E288" s="13">
        <f t="shared" si="40"/>
        <v>0</v>
      </c>
      <c r="F288" s="13">
        <f>ROUND(12596700,2)</f>
        <v>12596700</v>
      </c>
      <c r="G288" s="13">
        <f t="shared" si="42"/>
        <v>0</v>
      </c>
      <c r="H288" s="13">
        <f>ROUND(2848442.77,2)</f>
        <v>2848442.77</v>
      </c>
      <c r="I288" s="13">
        <f t="shared" si="41"/>
        <v>0</v>
      </c>
      <c r="J288" s="13">
        <f>ROUND(2848442.77,2)</f>
        <v>2848442.77</v>
      </c>
      <c r="K288" s="13">
        <f t="shared" si="43"/>
        <v>0</v>
      </c>
    </row>
    <row r="289" spans="1:11" ht="23.25">
      <c r="A289" s="11" t="s">
        <v>331</v>
      </c>
      <c r="B289" s="12" t="s">
        <v>657</v>
      </c>
      <c r="C289" s="12" t="s">
        <v>189</v>
      </c>
      <c r="D289" s="13">
        <f>ROUND(9607000,2)</f>
        <v>9607000</v>
      </c>
      <c r="E289" s="13">
        <f t="shared" si="40"/>
        <v>0</v>
      </c>
      <c r="F289" s="13">
        <f>ROUND(9607000,2)</f>
        <v>9607000</v>
      </c>
      <c r="G289" s="13">
        <f t="shared" si="42"/>
        <v>0</v>
      </c>
      <c r="H289" s="13">
        <f>ROUND(2386194.69,2)</f>
        <v>2386194.69</v>
      </c>
      <c r="I289" s="13">
        <f t="shared" si="41"/>
        <v>0</v>
      </c>
      <c r="J289" s="13">
        <f>ROUND(2386194.69,2)</f>
        <v>2386194.69</v>
      </c>
      <c r="K289" s="13">
        <f t="shared" si="43"/>
        <v>0</v>
      </c>
    </row>
    <row r="290" spans="1:11" ht="34.5">
      <c r="A290" s="11" t="s">
        <v>659</v>
      </c>
      <c r="B290" s="12" t="s">
        <v>576</v>
      </c>
      <c r="C290" s="12" t="s">
        <v>122</v>
      </c>
      <c r="D290" s="13">
        <f>ROUND(2989700,2)</f>
        <v>2989700</v>
      </c>
      <c r="E290" s="13">
        <f t="shared" si="40"/>
        <v>0</v>
      </c>
      <c r="F290" s="13">
        <f>ROUND(2989700,2)</f>
        <v>2989700</v>
      </c>
      <c r="G290" s="13">
        <f t="shared" si="42"/>
        <v>0</v>
      </c>
      <c r="H290" s="13">
        <f>ROUND(462248.08,2)</f>
        <v>462248.08</v>
      </c>
      <c r="I290" s="13">
        <f t="shared" si="41"/>
        <v>0</v>
      </c>
      <c r="J290" s="13">
        <f>ROUND(462248.08,2)</f>
        <v>462248.08</v>
      </c>
      <c r="K290" s="13">
        <f t="shared" si="43"/>
        <v>0</v>
      </c>
    </row>
    <row r="291" spans="1:11" ht="23.25">
      <c r="A291" s="11" t="s">
        <v>113</v>
      </c>
      <c r="B291" s="12" t="s">
        <v>988</v>
      </c>
      <c r="C291" s="12" t="s">
        <v>238</v>
      </c>
      <c r="D291" s="13">
        <f>ROUND(2169200,2)</f>
        <v>2169200</v>
      </c>
      <c r="E291" s="13">
        <f t="shared" si="40"/>
        <v>0</v>
      </c>
      <c r="F291" s="13">
        <f>ROUND(2169200,2)</f>
        <v>2169200</v>
      </c>
      <c r="G291" s="13">
        <f t="shared" si="42"/>
        <v>0</v>
      </c>
      <c r="H291" s="13">
        <f>ROUND(431036.92,2)</f>
        <v>431036.92</v>
      </c>
      <c r="I291" s="13">
        <f t="shared" si="41"/>
        <v>0</v>
      </c>
      <c r="J291" s="13">
        <f>ROUND(431036.92,2)</f>
        <v>431036.92</v>
      </c>
      <c r="K291" s="13">
        <f t="shared" si="43"/>
        <v>0</v>
      </c>
    </row>
    <row r="292" spans="1:11" ht="23.25">
      <c r="A292" s="11" t="s">
        <v>579</v>
      </c>
      <c r="B292" s="12" t="s">
        <v>400</v>
      </c>
      <c r="C292" s="12" t="s">
        <v>631</v>
      </c>
      <c r="D292" s="13">
        <f>ROUND(21000,2)</f>
        <v>21000</v>
      </c>
      <c r="E292" s="13">
        <f t="shared" si="40"/>
        <v>0</v>
      </c>
      <c r="F292" s="13">
        <f>ROUND(21000,2)</f>
        <v>21000</v>
      </c>
      <c r="G292" s="13">
        <f t="shared" si="42"/>
        <v>0</v>
      </c>
      <c r="H292" s="13">
        <f>ROUND(6122.73,2)</f>
        <v>6122.73</v>
      </c>
      <c r="I292" s="13">
        <f t="shared" si="41"/>
        <v>0</v>
      </c>
      <c r="J292" s="13">
        <f>ROUND(6122.73,2)</f>
        <v>6122.73</v>
      </c>
      <c r="K292" s="13">
        <f t="shared" si="43"/>
        <v>0</v>
      </c>
    </row>
    <row r="293" spans="1:11" ht="23.25">
      <c r="A293" s="11" t="s">
        <v>181</v>
      </c>
      <c r="B293" s="12" t="s">
        <v>880</v>
      </c>
      <c r="C293" s="12" t="s">
        <v>454</v>
      </c>
      <c r="D293" s="13">
        <f>ROUND(7000,2)</f>
        <v>7000</v>
      </c>
      <c r="E293" s="13">
        <f t="shared" si="40"/>
        <v>0</v>
      </c>
      <c r="F293" s="13">
        <f>ROUND(7000,2)</f>
        <v>7000</v>
      </c>
      <c r="G293" s="13">
        <f t="shared" si="42"/>
        <v>0</v>
      </c>
      <c r="H293" s="13">
        <f>ROUND(3890.46,2)</f>
        <v>3890.46</v>
      </c>
      <c r="I293" s="13">
        <f t="shared" si="41"/>
        <v>0</v>
      </c>
      <c r="J293" s="13">
        <f>ROUND(3890.46,2)</f>
        <v>3890.46</v>
      </c>
      <c r="K293" s="13">
        <f t="shared" si="43"/>
        <v>0</v>
      </c>
    </row>
    <row r="294" spans="1:11" ht="23.25">
      <c r="A294" s="11" t="s">
        <v>750</v>
      </c>
      <c r="B294" s="12" t="s">
        <v>322</v>
      </c>
      <c r="C294" s="12" t="s">
        <v>866</v>
      </c>
      <c r="D294" s="13">
        <f>ROUND(38000,2)</f>
        <v>38000</v>
      </c>
      <c r="E294" s="13">
        <f t="shared" si="40"/>
        <v>0</v>
      </c>
      <c r="F294" s="13">
        <f>ROUND(38000,2)</f>
        <v>38000</v>
      </c>
      <c r="G294" s="13">
        <f t="shared" si="42"/>
        <v>0</v>
      </c>
      <c r="H294" s="13">
        <f>ROUND(37729.22,2)</f>
        <v>37729.22</v>
      </c>
      <c r="I294" s="13">
        <f t="shared" si="41"/>
        <v>0</v>
      </c>
      <c r="J294" s="13">
        <f>ROUND(37729.22,2)</f>
        <v>37729.22</v>
      </c>
      <c r="K294" s="13">
        <f t="shared" si="43"/>
        <v>0</v>
      </c>
    </row>
    <row r="295" spans="1:11" ht="34.5">
      <c r="A295" s="11" t="s">
        <v>610</v>
      </c>
      <c r="B295" s="12" t="s">
        <v>492</v>
      </c>
      <c r="C295" s="12" t="s">
        <v>695</v>
      </c>
      <c r="D295" s="13">
        <f>ROUND(107000,2)</f>
        <v>107000</v>
      </c>
      <c r="E295" s="13">
        <f t="shared" si="40"/>
        <v>0</v>
      </c>
      <c r="F295" s="13">
        <f>ROUND(107000,2)</f>
        <v>107000</v>
      </c>
      <c r="G295" s="13">
        <f t="shared" si="42"/>
        <v>0</v>
      </c>
      <c r="H295" s="13">
        <f>ROUND(88360,2)</f>
        <v>88360</v>
      </c>
      <c r="I295" s="13">
        <f t="shared" si="41"/>
        <v>0</v>
      </c>
      <c r="J295" s="13">
        <f>ROUND(88360,2)</f>
        <v>88360</v>
      </c>
      <c r="K295" s="13">
        <f t="shared" si="43"/>
        <v>0</v>
      </c>
    </row>
    <row r="296" spans="1:11" ht="23.25">
      <c r="A296" s="11" t="s">
        <v>21</v>
      </c>
      <c r="B296" s="12" t="s">
        <v>791</v>
      </c>
      <c r="C296" s="12" t="s">
        <v>736</v>
      </c>
      <c r="D296" s="13">
        <f>ROUND(1996200,2)</f>
        <v>1996200</v>
      </c>
      <c r="E296" s="13">
        <f t="shared" si="40"/>
        <v>0</v>
      </c>
      <c r="F296" s="13">
        <f>ROUND(1996200,2)</f>
        <v>1996200</v>
      </c>
      <c r="G296" s="13">
        <f t="shared" si="42"/>
        <v>0</v>
      </c>
      <c r="H296" s="13">
        <f>ROUND(294934.51,2)</f>
        <v>294934.51</v>
      </c>
      <c r="I296" s="13">
        <f t="shared" si="41"/>
        <v>0</v>
      </c>
      <c r="J296" s="13">
        <f>ROUND(294934.51,2)</f>
        <v>294934.51</v>
      </c>
      <c r="K296" s="13">
        <f t="shared" si="43"/>
        <v>0</v>
      </c>
    </row>
    <row r="297" spans="1:11" ht="23.25">
      <c r="A297" s="11" t="s">
        <v>41</v>
      </c>
      <c r="B297" s="12" t="s">
        <v>255</v>
      </c>
      <c r="C297" s="12" t="s">
        <v>961</v>
      </c>
      <c r="D297" s="13">
        <f>ROUND(33100,2)</f>
        <v>33100</v>
      </c>
      <c r="E297" s="13">
        <f t="shared" si="40"/>
        <v>0</v>
      </c>
      <c r="F297" s="13">
        <f>ROUND(33100,2)</f>
        <v>33100</v>
      </c>
      <c r="G297" s="13">
        <f t="shared" si="42"/>
        <v>0</v>
      </c>
      <c r="H297" s="13">
        <f>ROUND(84.3,2)</f>
        <v>84.3</v>
      </c>
      <c r="I297" s="13">
        <f t="shared" si="41"/>
        <v>0</v>
      </c>
      <c r="J297" s="13">
        <f>ROUND(84.3,2)</f>
        <v>84.3</v>
      </c>
      <c r="K297" s="13">
        <f t="shared" si="43"/>
        <v>0</v>
      </c>
    </row>
    <row r="298" spans="1:11" ht="34.5">
      <c r="A298" s="11" t="s">
        <v>677</v>
      </c>
      <c r="B298" s="12" t="s">
        <v>269</v>
      </c>
      <c r="C298" s="12" t="s">
        <v>795</v>
      </c>
      <c r="D298" s="13">
        <f>ROUND(18448871,2)</f>
        <v>18448871</v>
      </c>
      <c r="E298" s="13">
        <f t="shared" si="40"/>
        <v>0</v>
      </c>
      <c r="F298" s="13">
        <f>ROUND(18448871,2)</f>
        <v>18448871</v>
      </c>
      <c r="G298" s="13">
        <f t="shared" si="42"/>
        <v>0</v>
      </c>
      <c r="H298" s="13">
        <f>ROUND(1002622.95,2)</f>
        <v>1002622.95</v>
      </c>
      <c r="I298" s="13">
        <f t="shared" si="41"/>
        <v>0</v>
      </c>
      <c r="J298" s="13">
        <f>ROUND(1002622.95,2)</f>
        <v>1002622.95</v>
      </c>
      <c r="K298" s="13">
        <f t="shared" si="43"/>
        <v>0</v>
      </c>
    </row>
    <row r="299" spans="1:11" ht="34.5">
      <c r="A299" s="11" t="s">
        <v>253</v>
      </c>
      <c r="B299" s="12" t="s">
        <v>0</v>
      </c>
      <c r="C299" s="12" t="s">
        <v>953</v>
      </c>
      <c r="D299" s="13">
        <f>ROUND(16706971,2)</f>
        <v>16706971</v>
      </c>
      <c r="E299" s="13">
        <f t="shared" si="40"/>
        <v>0</v>
      </c>
      <c r="F299" s="13">
        <f>ROUND(16706971,2)</f>
        <v>16706971</v>
      </c>
      <c r="G299" s="13">
        <f t="shared" si="42"/>
        <v>0</v>
      </c>
      <c r="H299" s="13">
        <f>ROUND(184423.9,2)</f>
        <v>184423.9</v>
      </c>
      <c r="I299" s="13">
        <f t="shared" si="41"/>
        <v>0</v>
      </c>
      <c r="J299" s="13">
        <f>ROUND(184423.9,2)</f>
        <v>184423.9</v>
      </c>
      <c r="K299" s="13">
        <f t="shared" si="43"/>
        <v>0</v>
      </c>
    </row>
    <row r="300" spans="1:11" ht="45.75">
      <c r="A300" s="11" t="s">
        <v>532</v>
      </c>
      <c r="B300" s="12" t="s">
        <v>280</v>
      </c>
      <c r="C300" s="12" t="s">
        <v>745</v>
      </c>
      <c r="D300" s="13">
        <f>ROUND(1741900,2)</f>
        <v>1741900</v>
      </c>
      <c r="E300" s="13">
        <f t="shared" si="40"/>
        <v>0</v>
      </c>
      <c r="F300" s="13">
        <f>ROUND(1741900,2)</f>
        <v>1741900</v>
      </c>
      <c r="G300" s="13">
        <f t="shared" si="42"/>
        <v>0</v>
      </c>
      <c r="H300" s="13">
        <f>ROUND(818199.05,2)</f>
        <v>818199.05</v>
      </c>
      <c r="I300" s="13">
        <f t="shared" si="41"/>
        <v>0</v>
      </c>
      <c r="J300" s="13">
        <f>ROUND(818199.05,2)</f>
        <v>818199.05</v>
      </c>
      <c r="K300" s="13">
        <f t="shared" si="43"/>
        <v>0</v>
      </c>
    </row>
    <row r="301" spans="1:11" ht="45.75">
      <c r="A301" s="11" t="s">
        <v>416</v>
      </c>
      <c r="B301" s="12" t="s">
        <v>692</v>
      </c>
      <c r="C301" s="12" t="s">
        <v>871</v>
      </c>
      <c r="D301" s="13">
        <f>ROUND(35020039,2)</f>
        <v>35020039</v>
      </c>
      <c r="E301" s="13">
        <f>ROUND(2728700,2)</f>
        <v>2728700</v>
      </c>
      <c r="F301" s="13">
        <f>ROUND(7118700,2)</f>
        <v>7118700</v>
      </c>
      <c r="G301" s="13">
        <f>ROUND(30630039,2)</f>
        <v>30630039</v>
      </c>
      <c r="H301" s="13">
        <f>ROUND(6775651.22,2)</f>
        <v>6775651.22</v>
      </c>
      <c r="I301" s="13">
        <f t="shared" si="41"/>
        <v>0</v>
      </c>
      <c r="J301" s="13">
        <f>ROUND(1276600.5,2)</f>
        <v>1276600.5</v>
      </c>
      <c r="K301" s="13">
        <f>ROUND(5499050.72,2)</f>
        <v>5499050.72</v>
      </c>
    </row>
    <row r="302" spans="1:11" ht="23.25">
      <c r="A302" s="11" t="s">
        <v>901</v>
      </c>
      <c r="B302" s="12" t="s">
        <v>797</v>
      </c>
      <c r="C302" s="12" t="s">
        <v>99</v>
      </c>
      <c r="D302" s="13">
        <f>ROUND(30225294,2)</f>
        <v>30225294</v>
      </c>
      <c r="E302" s="13">
        <f>ROUND(2728700,2)</f>
        <v>2728700</v>
      </c>
      <c r="F302" s="13">
        <f>ROUND(7049300,2)</f>
        <v>7049300</v>
      </c>
      <c r="G302" s="13">
        <f>ROUND(25904694,2)</f>
        <v>25904694</v>
      </c>
      <c r="H302" s="13">
        <f>ROUND(6261484.69,2)</f>
        <v>6261484.69</v>
      </c>
      <c r="I302" s="13">
        <f t="shared" si="41"/>
        <v>0</v>
      </c>
      <c r="J302" s="13">
        <f>ROUND(1252600.5,2)</f>
        <v>1252600.5</v>
      </c>
      <c r="K302" s="13">
        <f>ROUND(5008884.19,2)</f>
        <v>5008884.19</v>
      </c>
    </row>
    <row r="303" spans="1:11" ht="45.75">
      <c r="A303" s="11" t="s">
        <v>305</v>
      </c>
      <c r="B303" s="12" t="s">
        <v>526</v>
      </c>
      <c r="C303" s="12" t="s">
        <v>801</v>
      </c>
      <c r="D303" s="13">
        <f>ROUND(20106288,2)</f>
        <v>20106288</v>
      </c>
      <c r="E303" s="13">
        <f aca="true" t="shared" si="44" ref="E303:E312">ROUND(0,2)</f>
        <v>0</v>
      </c>
      <c r="F303" s="13">
        <f>ROUND(2246700,2)</f>
        <v>2246700</v>
      </c>
      <c r="G303" s="13">
        <f>ROUND(17859588,2)</f>
        <v>17859588</v>
      </c>
      <c r="H303" s="13">
        <f>ROUND(3799331.68,2)</f>
        <v>3799331.68</v>
      </c>
      <c r="I303" s="13">
        <f t="shared" si="41"/>
        <v>0</v>
      </c>
      <c r="J303" s="13">
        <f>ROUND(603003.75,2)</f>
        <v>603003.75</v>
      </c>
      <c r="K303" s="13">
        <f>ROUND(3196327.93,2)</f>
        <v>3196327.93</v>
      </c>
    </row>
    <row r="304" spans="1:11" ht="23.25">
      <c r="A304" s="11" t="s">
        <v>950</v>
      </c>
      <c r="B304" s="12" t="s">
        <v>77</v>
      </c>
      <c r="C304" s="12" t="s">
        <v>189</v>
      </c>
      <c r="D304" s="13">
        <f>ROUND(15426499,2)</f>
        <v>15426499</v>
      </c>
      <c r="E304" s="13">
        <f t="shared" si="44"/>
        <v>0</v>
      </c>
      <c r="F304" s="13">
        <f>ROUND(1724900,2)</f>
        <v>1724900</v>
      </c>
      <c r="G304" s="13">
        <f>ROUND(13701599,2)</f>
        <v>13701599</v>
      </c>
      <c r="H304" s="13">
        <f>ROUND(2938940.82,2)</f>
        <v>2938940.82</v>
      </c>
      <c r="I304" s="13">
        <f t="shared" si="41"/>
        <v>0</v>
      </c>
      <c r="J304" s="13">
        <f>ROUND(512167.77,2)</f>
        <v>512167.77</v>
      </c>
      <c r="K304" s="13">
        <f>ROUND(2426773.05,2)</f>
        <v>2426773.05</v>
      </c>
    </row>
    <row r="305" spans="1:11" ht="23.25">
      <c r="A305" s="11" t="s">
        <v>505</v>
      </c>
      <c r="B305" s="12" t="s">
        <v>709</v>
      </c>
      <c r="C305" s="12" t="s">
        <v>288</v>
      </c>
      <c r="D305" s="13">
        <f>ROUND(5000,2)</f>
        <v>5000</v>
      </c>
      <c r="E305" s="13">
        <f t="shared" si="44"/>
        <v>0</v>
      </c>
      <c r="F305" s="13">
        <f>ROUND(0,2)</f>
        <v>0</v>
      </c>
      <c r="G305" s="13">
        <f>ROUND(5000,2)</f>
        <v>5000</v>
      </c>
      <c r="H305" s="13">
        <f>ROUND(0,2)</f>
        <v>0</v>
      </c>
      <c r="I305" s="13">
        <f t="shared" si="41"/>
        <v>0</v>
      </c>
      <c r="J305" s="13">
        <f>ROUND(0,2)</f>
        <v>0</v>
      </c>
      <c r="K305" s="13">
        <f>ROUND(0,2)</f>
        <v>0</v>
      </c>
    </row>
    <row r="306" spans="1:11" ht="34.5">
      <c r="A306" s="11" t="s">
        <v>815</v>
      </c>
      <c r="B306" s="12" t="s">
        <v>227</v>
      </c>
      <c r="C306" s="12" t="s">
        <v>122</v>
      </c>
      <c r="D306" s="13">
        <f>ROUND(4674789,2)</f>
        <v>4674789</v>
      </c>
      <c r="E306" s="13">
        <f t="shared" si="44"/>
        <v>0</v>
      </c>
      <c r="F306" s="13">
        <f>ROUND(521800,2)</f>
        <v>521800</v>
      </c>
      <c r="G306" s="13">
        <f>ROUND(4152989,2)</f>
        <v>4152989</v>
      </c>
      <c r="H306" s="13">
        <f>ROUND(860390.86,2)</f>
        <v>860390.86</v>
      </c>
      <c r="I306" s="13">
        <f t="shared" si="41"/>
        <v>0</v>
      </c>
      <c r="J306" s="13">
        <f>ROUND(90835.98,2)</f>
        <v>90835.98</v>
      </c>
      <c r="K306" s="13">
        <f>ROUND(769554.88,2)</f>
        <v>769554.88</v>
      </c>
    </row>
    <row r="307" spans="1:11" ht="23.25">
      <c r="A307" s="11" t="s">
        <v>353</v>
      </c>
      <c r="B307" s="12" t="s">
        <v>264</v>
      </c>
      <c r="C307" s="12" t="s">
        <v>238</v>
      </c>
      <c r="D307" s="13">
        <f>ROUND(9546806,2)</f>
        <v>9546806</v>
      </c>
      <c r="E307" s="13">
        <f t="shared" si="44"/>
        <v>0</v>
      </c>
      <c r="F307" s="13">
        <f>ROUND(2072800,2)</f>
        <v>2072800</v>
      </c>
      <c r="G307" s="13">
        <f>ROUND(7474006,2)</f>
        <v>7474006</v>
      </c>
      <c r="H307" s="13">
        <f>ROUND(2382831.85,2)</f>
        <v>2382831.85</v>
      </c>
      <c r="I307" s="13">
        <f t="shared" si="41"/>
        <v>0</v>
      </c>
      <c r="J307" s="13">
        <f>ROUND(649564.59,2)</f>
        <v>649564.59</v>
      </c>
      <c r="K307" s="13">
        <f>ROUND(1733267.26,2)</f>
        <v>1733267.26</v>
      </c>
    </row>
    <row r="308" spans="1:11" ht="23.25">
      <c r="A308" s="11" t="s">
        <v>799</v>
      </c>
      <c r="B308" s="12" t="s">
        <v>875</v>
      </c>
      <c r="C308" s="12" t="s">
        <v>631</v>
      </c>
      <c r="D308" s="13">
        <f>ROUND(169716,2)</f>
        <v>169716</v>
      </c>
      <c r="E308" s="13">
        <f t="shared" si="44"/>
        <v>0</v>
      </c>
      <c r="F308" s="13">
        <f>ROUND(36900,2)</f>
        <v>36900</v>
      </c>
      <c r="G308" s="13">
        <f>ROUND(132816,2)</f>
        <v>132816</v>
      </c>
      <c r="H308" s="13">
        <f>ROUND(37165.41,2)</f>
        <v>37165.41</v>
      </c>
      <c r="I308" s="13">
        <f t="shared" si="41"/>
        <v>0</v>
      </c>
      <c r="J308" s="13">
        <f>ROUND(2690.25,2)</f>
        <v>2690.25</v>
      </c>
      <c r="K308" s="13">
        <f>ROUND(34475.16,2)</f>
        <v>34475.16</v>
      </c>
    </row>
    <row r="309" spans="1:11" ht="23.25">
      <c r="A309" s="11" t="s">
        <v>357</v>
      </c>
      <c r="B309" s="12" t="s">
        <v>438</v>
      </c>
      <c r="C309" s="12" t="s">
        <v>454</v>
      </c>
      <c r="D309" s="13">
        <f>ROUND(33900,2)</f>
        <v>33900</v>
      </c>
      <c r="E309" s="13">
        <f t="shared" si="44"/>
        <v>0</v>
      </c>
      <c r="F309" s="13">
        <f>ROUND(4900,2)</f>
        <v>4900</v>
      </c>
      <c r="G309" s="13">
        <f>ROUND(29000,2)</f>
        <v>29000</v>
      </c>
      <c r="H309" s="13">
        <f>ROUND(12180,2)</f>
        <v>12180</v>
      </c>
      <c r="I309" s="13">
        <f t="shared" si="41"/>
        <v>0</v>
      </c>
      <c r="J309" s="13">
        <f>ROUND(0,2)</f>
        <v>0</v>
      </c>
      <c r="K309" s="13">
        <f>ROUND(12180,2)</f>
        <v>12180</v>
      </c>
    </row>
    <row r="310" spans="1:11" ht="23.25">
      <c r="A310" s="11" t="s">
        <v>344</v>
      </c>
      <c r="B310" s="12" t="s">
        <v>1020</v>
      </c>
      <c r="C310" s="12" t="s">
        <v>866</v>
      </c>
      <c r="D310" s="13">
        <f>ROUND(5143187,2)</f>
        <v>5143187</v>
      </c>
      <c r="E310" s="13">
        <f t="shared" si="44"/>
        <v>0</v>
      </c>
      <c r="F310" s="13">
        <f>ROUND(1741500,2)</f>
        <v>1741500</v>
      </c>
      <c r="G310" s="13">
        <f>ROUND(3401687,2)</f>
        <v>3401687</v>
      </c>
      <c r="H310" s="13">
        <f>ROUND(1120875.24,2)</f>
        <v>1120875.24</v>
      </c>
      <c r="I310" s="13">
        <f aca="true" t="shared" si="45" ref="I310:I341">ROUND(0,2)</f>
        <v>0</v>
      </c>
      <c r="J310" s="13">
        <f>ROUND(413568.54,2)</f>
        <v>413568.54</v>
      </c>
      <c r="K310" s="13">
        <f>ROUND(707306.7,2)</f>
        <v>707306.7</v>
      </c>
    </row>
    <row r="311" spans="1:11" ht="34.5">
      <c r="A311" s="11" t="s">
        <v>499</v>
      </c>
      <c r="B311" s="12" t="s">
        <v>854</v>
      </c>
      <c r="C311" s="12" t="s">
        <v>695</v>
      </c>
      <c r="D311" s="13">
        <f>ROUND(2103776,2)</f>
        <v>2103776</v>
      </c>
      <c r="E311" s="13">
        <f t="shared" si="44"/>
        <v>0</v>
      </c>
      <c r="F311" s="13">
        <f>ROUND(15000,2)</f>
        <v>15000</v>
      </c>
      <c r="G311" s="13">
        <f>ROUND(2088776,2)</f>
        <v>2088776</v>
      </c>
      <c r="H311" s="13">
        <f>ROUND(360128.19,2)</f>
        <v>360128.19</v>
      </c>
      <c r="I311" s="13">
        <f t="shared" si="45"/>
        <v>0</v>
      </c>
      <c r="J311" s="13">
        <f>ROUND(285,2)</f>
        <v>285</v>
      </c>
      <c r="K311" s="13">
        <f>ROUND(359843.19,2)</f>
        <v>359843.19</v>
      </c>
    </row>
    <row r="312" spans="1:11" ht="23.25">
      <c r="A312" s="11" t="s">
        <v>946</v>
      </c>
      <c r="B312" s="12" t="s">
        <v>472</v>
      </c>
      <c r="C312" s="12" t="s">
        <v>736</v>
      </c>
      <c r="D312" s="13">
        <f>ROUND(2096227,2)</f>
        <v>2096227</v>
      </c>
      <c r="E312" s="13">
        <f t="shared" si="44"/>
        <v>0</v>
      </c>
      <c r="F312" s="13">
        <f>ROUND(274500,2)</f>
        <v>274500</v>
      </c>
      <c r="G312" s="13">
        <f>ROUND(1821727,2)</f>
        <v>1821727</v>
      </c>
      <c r="H312" s="13">
        <f>ROUND(852483.01,2)</f>
        <v>852483.01</v>
      </c>
      <c r="I312" s="13">
        <f t="shared" si="45"/>
        <v>0</v>
      </c>
      <c r="J312" s="13">
        <f>ROUND(233020.8,2)</f>
        <v>233020.8</v>
      </c>
      <c r="K312" s="13">
        <f>ROUND(619462.21,2)</f>
        <v>619462.21</v>
      </c>
    </row>
    <row r="313" spans="1:11" ht="34.5">
      <c r="A313" s="11" t="s">
        <v>599</v>
      </c>
      <c r="B313" s="12" t="s">
        <v>554</v>
      </c>
      <c r="C313" s="12" t="s">
        <v>215</v>
      </c>
      <c r="D313" s="13">
        <f>ROUND(0,2)</f>
        <v>0</v>
      </c>
      <c r="E313" s="13">
        <f>ROUND(2728700,2)</f>
        <v>2728700</v>
      </c>
      <c r="F313" s="13">
        <f>ROUND(2728700,2)</f>
        <v>2728700</v>
      </c>
      <c r="G313" s="13">
        <f>ROUND(0,2)</f>
        <v>0</v>
      </c>
      <c r="H313" s="13">
        <f>ROUND(0,2)</f>
        <v>0</v>
      </c>
      <c r="I313" s="13">
        <f t="shared" si="45"/>
        <v>0</v>
      </c>
      <c r="J313" s="13">
        <f>ROUND(0,2)</f>
        <v>0</v>
      </c>
      <c r="K313" s="13">
        <f>ROUND(0,2)</f>
        <v>0</v>
      </c>
    </row>
    <row r="314" spans="1:11" ht="68.25">
      <c r="A314" s="11" t="s">
        <v>29</v>
      </c>
      <c r="B314" s="12" t="s">
        <v>58</v>
      </c>
      <c r="C314" s="12" t="s">
        <v>1033</v>
      </c>
      <c r="D314" s="13">
        <f>ROUND(0,2)</f>
        <v>0</v>
      </c>
      <c r="E314" s="13">
        <f>ROUND(2728700,2)</f>
        <v>2728700</v>
      </c>
      <c r="F314" s="13">
        <f>ROUND(2728700,2)</f>
        <v>2728700</v>
      </c>
      <c r="G314" s="13">
        <f>ROUND(0,2)</f>
        <v>0</v>
      </c>
      <c r="H314" s="13">
        <f>ROUND(0,2)</f>
        <v>0</v>
      </c>
      <c r="I314" s="13">
        <f t="shared" si="45"/>
        <v>0</v>
      </c>
      <c r="J314" s="13">
        <f>ROUND(0,2)</f>
        <v>0</v>
      </c>
      <c r="K314" s="13">
        <f>ROUND(0,2)</f>
        <v>0</v>
      </c>
    </row>
    <row r="315" spans="1:11" ht="23.25">
      <c r="A315" s="11" t="s">
        <v>661</v>
      </c>
      <c r="B315" s="12" t="s">
        <v>569</v>
      </c>
      <c r="C315" s="12" t="s">
        <v>961</v>
      </c>
      <c r="D315" s="13">
        <f>ROUND(572200,2)</f>
        <v>572200</v>
      </c>
      <c r="E315" s="13">
        <f>ROUND(0,2)</f>
        <v>0</v>
      </c>
      <c r="F315" s="13">
        <f>ROUND(1100,2)</f>
        <v>1100</v>
      </c>
      <c r="G315" s="13">
        <f>ROUND(571100,2)</f>
        <v>571100</v>
      </c>
      <c r="H315" s="13">
        <f>ROUND(79321.16,2)</f>
        <v>79321.16</v>
      </c>
      <c r="I315" s="13">
        <f t="shared" si="45"/>
        <v>0</v>
      </c>
      <c r="J315" s="13">
        <f>ROUND(32.16,2)</f>
        <v>32.16</v>
      </c>
      <c r="K315" s="13">
        <f>ROUND(79289,2)</f>
        <v>79289</v>
      </c>
    </row>
    <row r="316" spans="1:11" ht="34.5">
      <c r="A316" s="11" t="s">
        <v>205</v>
      </c>
      <c r="B316" s="12" t="s">
        <v>994</v>
      </c>
      <c r="C316" s="12" t="s">
        <v>795</v>
      </c>
      <c r="D316" s="13">
        <f>ROUND(4794745,2)</f>
        <v>4794745</v>
      </c>
      <c r="E316" s="13">
        <f>ROUND(0,2)</f>
        <v>0</v>
      </c>
      <c r="F316" s="13">
        <f>ROUND(69400,2)</f>
        <v>69400</v>
      </c>
      <c r="G316" s="13">
        <f>ROUND(4725345,2)</f>
        <v>4725345</v>
      </c>
      <c r="H316" s="13">
        <f>ROUND(514166.53,2)</f>
        <v>514166.53</v>
      </c>
      <c r="I316" s="13">
        <f t="shared" si="45"/>
        <v>0</v>
      </c>
      <c r="J316" s="13">
        <f>ROUND(24000,2)</f>
        <v>24000</v>
      </c>
      <c r="K316" s="13">
        <f>ROUND(490166.53,2)</f>
        <v>490166.53</v>
      </c>
    </row>
    <row r="317" spans="1:11" ht="34.5">
      <c r="A317" s="11" t="s">
        <v>858</v>
      </c>
      <c r="B317" s="12" t="s">
        <v>730</v>
      </c>
      <c r="C317" s="12" t="s">
        <v>953</v>
      </c>
      <c r="D317" s="13">
        <f>ROUND(3240116,2)</f>
        <v>3240116</v>
      </c>
      <c r="E317" s="13">
        <f>ROUND(0,2)</f>
        <v>0</v>
      </c>
      <c r="F317" s="13">
        <f>ROUND(0,2)</f>
        <v>0</v>
      </c>
      <c r="G317" s="13">
        <f>ROUND(3240116,2)</f>
        <v>3240116</v>
      </c>
      <c r="H317" s="13">
        <f>ROUND(213961.69,2)</f>
        <v>213961.69</v>
      </c>
      <c r="I317" s="13">
        <f t="shared" si="45"/>
        <v>0</v>
      </c>
      <c r="J317" s="13">
        <f>ROUND(0,2)</f>
        <v>0</v>
      </c>
      <c r="K317" s="13">
        <f>ROUND(213961.69,2)</f>
        <v>213961.69</v>
      </c>
    </row>
    <row r="318" spans="1:11" ht="45.75">
      <c r="A318" s="11" t="s">
        <v>434</v>
      </c>
      <c r="B318" s="12" t="s">
        <v>975</v>
      </c>
      <c r="C318" s="12" t="s">
        <v>745</v>
      </c>
      <c r="D318" s="13">
        <f>ROUND(1554629,2)</f>
        <v>1554629</v>
      </c>
      <c r="E318" s="13">
        <f>ROUND(0,2)</f>
        <v>0</v>
      </c>
      <c r="F318" s="13">
        <f>ROUND(69400,2)</f>
        <v>69400</v>
      </c>
      <c r="G318" s="13">
        <f>ROUND(1485229,2)</f>
        <v>1485229</v>
      </c>
      <c r="H318" s="13">
        <f>ROUND(300204.84,2)</f>
        <v>300204.84</v>
      </c>
      <c r="I318" s="13">
        <f t="shared" si="45"/>
        <v>0</v>
      </c>
      <c r="J318" s="13">
        <f>ROUND(24000,2)</f>
        <v>24000</v>
      </c>
      <c r="K318" s="13">
        <f>ROUND(276204.84,2)</f>
        <v>276204.84</v>
      </c>
    </row>
    <row r="319" spans="1:11" ht="23.25">
      <c r="A319" s="11" t="s">
        <v>936</v>
      </c>
      <c r="B319" s="12" t="s">
        <v>954</v>
      </c>
      <c r="C319" s="12" t="s">
        <v>944</v>
      </c>
      <c r="D319" s="13">
        <f>ROUND(30084806,2)</f>
        <v>30084806</v>
      </c>
      <c r="E319" s="13">
        <f>ROUND(146200,2)</f>
        <v>146200</v>
      </c>
      <c r="F319" s="13">
        <f>ROUND(4407200,2)</f>
        <v>4407200</v>
      </c>
      <c r="G319" s="13">
        <f>ROUND(25823806,2)</f>
        <v>25823806</v>
      </c>
      <c r="H319" s="13">
        <f>ROUND(6185118.11,2)</f>
        <v>6185118.11</v>
      </c>
      <c r="I319" s="13">
        <f t="shared" si="45"/>
        <v>0</v>
      </c>
      <c r="J319" s="13">
        <f>ROUND(1148079.7,2)</f>
        <v>1148079.7</v>
      </c>
      <c r="K319" s="13">
        <f>ROUND(5037038.41,2)</f>
        <v>5037038.41</v>
      </c>
    </row>
    <row r="320" spans="1:11" ht="23.25">
      <c r="A320" s="11" t="s">
        <v>465</v>
      </c>
      <c r="B320" s="12" t="s">
        <v>534</v>
      </c>
      <c r="C320" s="12" t="s">
        <v>99</v>
      </c>
      <c r="D320" s="13">
        <f>ROUND(27887561,2)</f>
        <v>27887561</v>
      </c>
      <c r="E320" s="13">
        <f>ROUND(146200,2)</f>
        <v>146200</v>
      </c>
      <c r="F320" s="13">
        <f>ROUND(4337800,2)</f>
        <v>4337800</v>
      </c>
      <c r="G320" s="13">
        <f>ROUND(23695961,2)</f>
        <v>23695961</v>
      </c>
      <c r="H320" s="13">
        <f>ROUND(5671481.58,2)</f>
        <v>5671481.58</v>
      </c>
      <c r="I320" s="13">
        <f t="shared" si="45"/>
        <v>0</v>
      </c>
      <c r="J320" s="13">
        <f>ROUND(1124079.7,2)</f>
        <v>1124079.7</v>
      </c>
      <c r="K320" s="13">
        <f>ROUND(4547401.88,2)</f>
        <v>4547401.88</v>
      </c>
    </row>
    <row r="321" spans="1:11" ht="45.75">
      <c r="A321" s="11" t="s">
        <v>925</v>
      </c>
      <c r="B321" s="12" t="s">
        <v>813</v>
      </c>
      <c r="C321" s="12" t="s">
        <v>801</v>
      </c>
      <c r="D321" s="13">
        <f>ROUND(18122288,2)</f>
        <v>18122288</v>
      </c>
      <c r="E321" s="13">
        <f aca="true" t="shared" si="46" ref="E321:E330">ROUND(0,2)</f>
        <v>0</v>
      </c>
      <c r="F321" s="13">
        <f>ROUND(2246700,2)</f>
        <v>2246700</v>
      </c>
      <c r="G321" s="13">
        <f>ROUND(15875588,2)</f>
        <v>15875588</v>
      </c>
      <c r="H321" s="13">
        <f>ROUND(3515727.92,2)</f>
        <v>3515727.92</v>
      </c>
      <c r="I321" s="13">
        <f t="shared" si="45"/>
        <v>0</v>
      </c>
      <c r="J321" s="13">
        <f>ROUND(603003.75,2)</f>
        <v>603003.75</v>
      </c>
      <c r="K321" s="13">
        <f>ROUND(2912724.17,2)</f>
        <v>2912724.17</v>
      </c>
    </row>
    <row r="322" spans="1:11" ht="23.25">
      <c r="A322" s="11" t="s">
        <v>470</v>
      </c>
      <c r="B322" s="12" t="s">
        <v>351</v>
      </c>
      <c r="C322" s="12" t="s">
        <v>189</v>
      </c>
      <c r="D322" s="13">
        <f>ROUND(13904499,2)</f>
        <v>13904499</v>
      </c>
      <c r="E322" s="13">
        <f t="shared" si="46"/>
        <v>0</v>
      </c>
      <c r="F322" s="13">
        <f>ROUND(1724900,2)</f>
        <v>1724900</v>
      </c>
      <c r="G322" s="13">
        <f>ROUND(12179599,2)</f>
        <v>12179599</v>
      </c>
      <c r="H322" s="13">
        <f>ROUND(2719165.61,2)</f>
        <v>2719165.61</v>
      </c>
      <c r="I322" s="13">
        <f t="shared" si="45"/>
        <v>0</v>
      </c>
      <c r="J322" s="13">
        <f>ROUND(512167.77,2)</f>
        <v>512167.77</v>
      </c>
      <c r="K322" s="13">
        <f>ROUND(2206997.84,2)</f>
        <v>2206997.84</v>
      </c>
    </row>
    <row r="323" spans="1:11" ht="23.25">
      <c r="A323" s="11" t="s">
        <v>96</v>
      </c>
      <c r="B323" s="12" t="s">
        <v>949</v>
      </c>
      <c r="C323" s="12" t="s">
        <v>288</v>
      </c>
      <c r="D323" s="13">
        <f>ROUND(5000,2)</f>
        <v>5000</v>
      </c>
      <c r="E323" s="13">
        <f t="shared" si="46"/>
        <v>0</v>
      </c>
      <c r="F323" s="13">
        <f>ROUND(0,2)</f>
        <v>0</v>
      </c>
      <c r="G323" s="13">
        <f>ROUND(5000,2)</f>
        <v>5000</v>
      </c>
      <c r="H323" s="13">
        <f>ROUND(0,2)</f>
        <v>0</v>
      </c>
      <c r="I323" s="13">
        <f t="shared" si="45"/>
        <v>0</v>
      </c>
      <c r="J323" s="13">
        <f>ROUND(0,2)</f>
        <v>0</v>
      </c>
      <c r="K323" s="13">
        <f>ROUND(0,2)</f>
        <v>0</v>
      </c>
    </row>
    <row r="324" spans="1:11" ht="34.5">
      <c r="A324" s="11" t="s">
        <v>519</v>
      </c>
      <c r="B324" s="12" t="s">
        <v>501</v>
      </c>
      <c r="C324" s="12" t="s">
        <v>122</v>
      </c>
      <c r="D324" s="13">
        <f>ROUND(4212789,2)</f>
        <v>4212789</v>
      </c>
      <c r="E324" s="13">
        <f t="shared" si="46"/>
        <v>0</v>
      </c>
      <c r="F324" s="13">
        <f>ROUND(521800,2)</f>
        <v>521800</v>
      </c>
      <c r="G324" s="13">
        <f>ROUND(3690989,2)</f>
        <v>3690989</v>
      </c>
      <c r="H324" s="13">
        <f>ROUND(796562.31,2)</f>
        <v>796562.31</v>
      </c>
      <c r="I324" s="13">
        <f t="shared" si="45"/>
        <v>0</v>
      </c>
      <c r="J324" s="13">
        <f>ROUND(90835.98,2)</f>
        <v>90835.98</v>
      </c>
      <c r="K324" s="13">
        <f>ROUND(705726.33,2)</f>
        <v>705726.33</v>
      </c>
    </row>
    <row r="325" spans="1:11" ht="23.25">
      <c r="A325" s="11" t="s">
        <v>234</v>
      </c>
      <c r="B325" s="12" t="s">
        <v>24</v>
      </c>
      <c r="C325" s="12" t="s">
        <v>238</v>
      </c>
      <c r="D325" s="13">
        <f>ROUND(9193073,2)</f>
        <v>9193073</v>
      </c>
      <c r="E325" s="13">
        <f t="shared" si="46"/>
        <v>0</v>
      </c>
      <c r="F325" s="13">
        <f>ROUND(1943800,2)</f>
        <v>1943800</v>
      </c>
      <c r="G325" s="13">
        <f>ROUND(7249273,2)</f>
        <v>7249273</v>
      </c>
      <c r="H325" s="13">
        <f>ROUND(2076432.5,2)</f>
        <v>2076432.5</v>
      </c>
      <c r="I325" s="13">
        <f t="shared" si="45"/>
        <v>0</v>
      </c>
      <c r="J325" s="13">
        <f>ROUND(521043.79,2)</f>
        <v>521043.79</v>
      </c>
      <c r="K325" s="13">
        <f>ROUND(1555388.71,2)</f>
        <v>1555388.71</v>
      </c>
    </row>
    <row r="326" spans="1:11" ht="23.25">
      <c r="A326" s="11" t="s">
        <v>704</v>
      </c>
      <c r="B326" s="12" t="s">
        <v>595</v>
      </c>
      <c r="C326" s="12" t="s">
        <v>631</v>
      </c>
      <c r="D326" s="13">
        <f>ROUND(164716,2)</f>
        <v>164716</v>
      </c>
      <c r="E326" s="13">
        <f t="shared" si="46"/>
        <v>0</v>
      </c>
      <c r="F326" s="13">
        <f>ROUND(36900,2)</f>
        <v>36900</v>
      </c>
      <c r="G326" s="13">
        <f>ROUND(127816,2)</f>
        <v>127816</v>
      </c>
      <c r="H326" s="13">
        <f>ROUND(36085.71,2)</f>
        <v>36085.71</v>
      </c>
      <c r="I326" s="13">
        <f t="shared" si="45"/>
        <v>0</v>
      </c>
      <c r="J326" s="13">
        <f>ROUND(2690.25,2)</f>
        <v>2690.25</v>
      </c>
      <c r="K326" s="13">
        <f>ROUND(33395.46,2)</f>
        <v>33395.46</v>
      </c>
    </row>
    <row r="327" spans="1:11" ht="23.25">
      <c r="A327" s="11" t="s">
        <v>49</v>
      </c>
      <c r="B327" s="12" t="s">
        <v>159</v>
      </c>
      <c r="C327" s="12" t="s">
        <v>454</v>
      </c>
      <c r="D327" s="13">
        <f>ROUND(33900,2)</f>
        <v>33900</v>
      </c>
      <c r="E327" s="13">
        <f t="shared" si="46"/>
        <v>0</v>
      </c>
      <c r="F327" s="13">
        <f>ROUND(4900,2)</f>
        <v>4900</v>
      </c>
      <c r="G327" s="13">
        <f>ROUND(29000,2)</f>
        <v>29000</v>
      </c>
      <c r="H327" s="13">
        <f>ROUND(12180,2)</f>
        <v>12180</v>
      </c>
      <c r="I327" s="13">
        <f t="shared" si="45"/>
        <v>0</v>
      </c>
      <c r="J327" s="13">
        <f>ROUND(0,2)</f>
        <v>0</v>
      </c>
      <c r="K327" s="13">
        <f>ROUND(12180,2)</f>
        <v>12180</v>
      </c>
    </row>
    <row r="328" spans="1:11" ht="23.25">
      <c r="A328" s="11" t="s">
        <v>622</v>
      </c>
      <c r="B328" s="12" t="s">
        <v>767</v>
      </c>
      <c r="C328" s="12" t="s">
        <v>866</v>
      </c>
      <c r="D328" s="13">
        <f>ROUND(5143187,2)</f>
        <v>5143187</v>
      </c>
      <c r="E328" s="13">
        <f t="shared" si="46"/>
        <v>0</v>
      </c>
      <c r="F328" s="13">
        <f>ROUND(1741500,2)</f>
        <v>1741500</v>
      </c>
      <c r="G328" s="13">
        <f>ROUND(3401687,2)</f>
        <v>3401687</v>
      </c>
      <c r="H328" s="13">
        <f>ROUND(1120875.24,2)</f>
        <v>1120875.24</v>
      </c>
      <c r="I328" s="13">
        <f t="shared" si="45"/>
        <v>0</v>
      </c>
      <c r="J328" s="13">
        <f>ROUND(413568.54,2)</f>
        <v>413568.54</v>
      </c>
      <c r="K328" s="13">
        <f>ROUND(707306.7,2)</f>
        <v>707306.7</v>
      </c>
    </row>
    <row r="329" spans="1:11" ht="34.5">
      <c r="A329" s="11" t="s">
        <v>732</v>
      </c>
      <c r="B329" s="12" t="s">
        <v>563</v>
      </c>
      <c r="C329" s="12" t="s">
        <v>695</v>
      </c>
      <c r="D329" s="13">
        <f>ROUND(2103776,2)</f>
        <v>2103776</v>
      </c>
      <c r="E329" s="13">
        <f t="shared" si="46"/>
        <v>0</v>
      </c>
      <c r="F329" s="13">
        <f>ROUND(15000,2)</f>
        <v>15000</v>
      </c>
      <c r="G329" s="13">
        <f>ROUND(2088776,2)</f>
        <v>2088776</v>
      </c>
      <c r="H329" s="13">
        <f>ROUND(360128.19,2)</f>
        <v>360128.19</v>
      </c>
      <c r="I329" s="13">
        <f t="shared" si="45"/>
        <v>0</v>
      </c>
      <c r="J329" s="13">
        <f>ROUND(285,2)</f>
        <v>285</v>
      </c>
      <c r="K329" s="13">
        <f>ROUND(359843.19,2)</f>
        <v>359843.19</v>
      </c>
    </row>
    <row r="330" spans="1:11" ht="23.25">
      <c r="A330" s="11" t="s">
        <v>141</v>
      </c>
      <c r="B330" s="12" t="s">
        <v>195</v>
      </c>
      <c r="C330" s="12" t="s">
        <v>736</v>
      </c>
      <c r="D330" s="13">
        <f>ROUND(1747494,2)</f>
        <v>1747494</v>
      </c>
      <c r="E330" s="13">
        <f t="shared" si="46"/>
        <v>0</v>
      </c>
      <c r="F330" s="13">
        <f>ROUND(145500,2)</f>
        <v>145500</v>
      </c>
      <c r="G330" s="13">
        <f>ROUND(1601994,2)</f>
        <v>1601994</v>
      </c>
      <c r="H330" s="13">
        <f>ROUND(547163.36,2)</f>
        <v>547163.36</v>
      </c>
      <c r="I330" s="13">
        <f t="shared" si="45"/>
        <v>0</v>
      </c>
      <c r="J330" s="13">
        <f>ROUND(104500,2)</f>
        <v>104500</v>
      </c>
      <c r="K330" s="13">
        <f>ROUND(442663.36,2)</f>
        <v>442663.36</v>
      </c>
    </row>
    <row r="331" spans="1:11" ht="34.5">
      <c r="A331" s="11" t="s">
        <v>887</v>
      </c>
      <c r="B331" s="12" t="s">
        <v>790</v>
      </c>
      <c r="C331" s="12" t="s">
        <v>215</v>
      </c>
      <c r="D331" s="13">
        <f>ROUND(0,2)</f>
        <v>0</v>
      </c>
      <c r="E331" s="13">
        <f>ROUND(146200,2)</f>
        <v>146200</v>
      </c>
      <c r="F331" s="13">
        <f>ROUND(146200,2)</f>
        <v>146200</v>
      </c>
      <c r="G331" s="13">
        <f>ROUND(0,2)</f>
        <v>0</v>
      </c>
      <c r="H331" s="13">
        <f>ROUND(0,2)</f>
        <v>0</v>
      </c>
      <c r="I331" s="13">
        <f t="shared" si="45"/>
        <v>0</v>
      </c>
      <c r="J331" s="13">
        <f>ROUND(0,2)</f>
        <v>0</v>
      </c>
      <c r="K331" s="13">
        <f>ROUND(0,2)</f>
        <v>0</v>
      </c>
    </row>
    <row r="332" spans="1:11" ht="68.25">
      <c r="A332" s="11" t="s">
        <v>406</v>
      </c>
      <c r="B332" s="12" t="s">
        <v>367</v>
      </c>
      <c r="C332" s="12" t="s">
        <v>1033</v>
      </c>
      <c r="D332" s="13">
        <f>ROUND(0,2)</f>
        <v>0</v>
      </c>
      <c r="E332" s="13">
        <f>ROUND(146200,2)</f>
        <v>146200</v>
      </c>
      <c r="F332" s="13">
        <f>ROUND(146200,2)</f>
        <v>146200</v>
      </c>
      <c r="G332" s="13">
        <f>ROUND(0,2)</f>
        <v>0</v>
      </c>
      <c r="H332" s="13">
        <f>ROUND(0,2)</f>
        <v>0</v>
      </c>
      <c r="I332" s="13">
        <f t="shared" si="45"/>
        <v>0</v>
      </c>
      <c r="J332" s="13">
        <f>ROUND(0,2)</f>
        <v>0</v>
      </c>
      <c r="K332" s="13">
        <f>ROUND(0,2)</f>
        <v>0</v>
      </c>
    </row>
    <row r="333" spans="1:11" ht="23.25">
      <c r="A333" s="11" t="s">
        <v>186</v>
      </c>
      <c r="B333" s="12" t="s">
        <v>847</v>
      </c>
      <c r="C333" s="12" t="s">
        <v>961</v>
      </c>
      <c r="D333" s="13">
        <f>ROUND(572200,2)</f>
        <v>572200</v>
      </c>
      <c r="E333" s="13">
        <f>ROUND(0,2)</f>
        <v>0</v>
      </c>
      <c r="F333" s="13">
        <f>ROUND(1100,2)</f>
        <v>1100</v>
      </c>
      <c r="G333" s="13">
        <f>ROUND(571100,2)</f>
        <v>571100</v>
      </c>
      <c r="H333" s="13">
        <f>ROUND(79321.16,2)</f>
        <v>79321.16</v>
      </c>
      <c r="I333" s="13">
        <f t="shared" si="45"/>
        <v>0</v>
      </c>
      <c r="J333" s="13">
        <f>ROUND(32.16,2)</f>
        <v>32.16</v>
      </c>
      <c r="K333" s="13">
        <f>ROUND(79289,2)</f>
        <v>79289</v>
      </c>
    </row>
    <row r="334" spans="1:11" ht="34.5">
      <c r="A334" s="11" t="s">
        <v>574</v>
      </c>
      <c r="B334" s="12" t="s">
        <v>724</v>
      </c>
      <c r="C334" s="12" t="s">
        <v>795</v>
      </c>
      <c r="D334" s="13">
        <f>ROUND(2197245,2)</f>
        <v>2197245</v>
      </c>
      <c r="E334" s="13">
        <f>ROUND(0,2)</f>
        <v>0</v>
      </c>
      <c r="F334" s="13">
        <f>ROUND(69400,2)</f>
        <v>69400</v>
      </c>
      <c r="G334" s="13">
        <f>ROUND(2127845,2)</f>
        <v>2127845</v>
      </c>
      <c r="H334" s="13">
        <f>ROUND(513636.53,2)</f>
        <v>513636.53</v>
      </c>
      <c r="I334" s="13">
        <f t="shared" si="45"/>
        <v>0</v>
      </c>
      <c r="J334" s="13">
        <f>ROUND(24000,2)</f>
        <v>24000</v>
      </c>
      <c r="K334" s="13">
        <f>ROUND(489636.53,2)</f>
        <v>489636.53</v>
      </c>
    </row>
    <row r="335" spans="1:11" ht="34.5">
      <c r="A335" s="11" t="s">
        <v>109</v>
      </c>
      <c r="B335" s="12" t="s">
        <v>980</v>
      </c>
      <c r="C335" s="12" t="s">
        <v>953</v>
      </c>
      <c r="D335" s="13">
        <f>ROUND(657616,2)</f>
        <v>657616</v>
      </c>
      <c r="E335" s="13">
        <f>ROUND(0,2)</f>
        <v>0</v>
      </c>
      <c r="F335" s="13">
        <f>ROUND(0,2)</f>
        <v>0</v>
      </c>
      <c r="G335" s="13">
        <f>ROUND(657616,2)</f>
        <v>657616</v>
      </c>
      <c r="H335" s="13">
        <f>ROUND(213961.69,2)</f>
        <v>213961.69</v>
      </c>
      <c r="I335" s="13">
        <f t="shared" si="45"/>
        <v>0</v>
      </c>
      <c r="J335" s="13">
        <f>ROUND(0,2)</f>
        <v>0</v>
      </c>
      <c r="K335" s="13">
        <f>ROUND(213961.69,2)</f>
        <v>213961.69</v>
      </c>
    </row>
    <row r="336" spans="1:11" ht="45.75">
      <c r="A336" s="11" t="s">
        <v>673</v>
      </c>
      <c r="B336" s="12" t="s">
        <v>746</v>
      </c>
      <c r="C336" s="12" t="s">
        <v>745</v>
      </c>
      <c r="D336" s="13">
        <f>ROUND(1539629,2)</f>
        <v>1539629</v>
      </c>
      <c r="E336" s="13">
        <f>ROUND(0,2)</f>
        <v>0</v>
      </c>
      <c r="F336" s="13">
        <f>ROUND(69400,2)</f>
        <v>69400</v>
      </c>
      <c r="G336" s="13">
        <f>ROUND(1470229,2)</f>
        <v>1470229</v>
      </c>
      <c r="H336" s="13">
        <f>ROUND(299674.84,2)</f>
        <v>299674.84</v>
      </c>
      <c r="I336" s="13">
        <f t="shared" si="45"/>
        <v>0</v>
      </c>
      <c r="J336" s="13">
        <f>ROUND(24000,2)</f>
        <v>24000</v>
      </c>
      <c r="K336" s="13">
        <f>ROUND(275674.84,2)</f>
        <v>275674.84</v>
      </c>
    </row>
    <row r="337" spans="1:11" ht="34.5">
      <c r="A337" s="11" t="s">
        <v>1018</v>
      </c>
      <c r="B337" s="12" t="s">
        <v>997</v>
      </c>
      <c r="C337" s="12" t="s">
        <v>665</v>
      </c>
      <c r="D337" s="13">
        <f>ROUND(4935233,2)</f>
        <v>4935233</v>
      </c>
      <c r="E337" s="13">
        <f>ROUND(2582500,2)</f>
        <v>2582500</v>
      </c>
      <c r="F337" s="13">
        <f>ROUND(2711500,2)</f>
        <v>2711500</v>
      </c>
      <c r="G337" s="13">
        <f>ROUND(4806233,2)</f>
        <v>4806233</v>
      </c>
      <c r="H337" s="13">
        <f>ROUND(590533.11,2)</f>
        <v>590533.11</v>
      </c>
      <c r="I337" s="13">
        <f t="shared" si="45"/>
        <v>0</v>
      </c>
      <c r="J337" s="13">
        <f>ROUND(128520.8,2)</f>
        <v>128520.8</v>
      </c>
      <c r="K337" s="13">
        <f>ROUND(462012.31,2)</f>
        <v>462012.31</v>
      </c>
    </row>
    <row r="338" spans="1:11" ht="23.25">
      <c r="A338" s="11" t="s">
        <v>276</v>
      </c>
      <c r="B338" s="12" t="s">
        <v>632</v>
      </c>
      <c r="C338" s="12" t="s">
        <v>99</v>
      </c>
      <c r="D338" s="13">
        <f>ROUND(2337733,2)</f>
        <v>2337733</v>
      </c>
      <c r="E338" s="13">
        <f>ROUND(2582500,2)</f>
        <v>2582500</v>
      </c>
      <c r="F338" s="13">
        <f>ROUND(2711500,2)</f>
        <v>2711500</v>
      </c>
      <c r="G338" s="13">
        <f>ROUND(2208733,2)</f>
        <v>2208733</v>
      </c>
      <c r="H338" s="13">
        <f>ROUND(590003.11,2)</f>
        <v>590003.11</v>
      </c>
      <c r="I338" s="13">
        <f t="shared" si="45"/>
        <v>0</v>
      </c>
      <c r="J338" s="13">
        <f>ROUND(128520.8,2)</f>
        <v>128520.8</v>
      </c>
      <c r="K338" s="13">
        <f>ROUND(461482.31,2)</f>
        <v>461482.31</v>
      </c>
    </row>
    <row r="339" spans="1:11" ht="45.75">
      <c r="A339" s="11" t="s">
        <v>870</v>
      </c>
      <c r="B339" s="12" t="s">
        <v>889</v>
      </c>
      <c r="C339" s="12" t="s">
        <v>801</v>
      </c>
      <c r="D339" s="13">
        <f>ROUND(1984000,2)</f>
        <v>1984000</v>
      </c>
      <c r="E339" s="13">
        <f aca="true" t="shared" si="47" ref="E339:F341">ROUND(0,2)</f>
        <v>0</v>
      </c>
      <c r="F339" s="13">
        <f t="shared" si="47"/>
        <v>0</v>
      </c>
      <c r="G339" s="13">
        <f>ROUND(1984000,2)</f>
        <v>1984000</v>
      </c>
      <c r="H339" s="13">
        <f>ROUND(283603.76,2)</f>
        <v>283603.76</v>
      </c>
      <c r="I339" s="13">
        <f t="shared" si="45"/>
        <v>0</v>
      </c>
      <c r="J339" s="13">
        <f>ROUND(0,2)</f>
        <v>0</v>
      </c>
      <c r="K339" s="13">
        <f>ROUND(283603.76,2)</f>
        <v>283603.76</v>
      </c>
    </row>
    <row r="340" spans="1:11" ht="23.25">
      <c r="A340" s="11" t="s">
        <v>480</v>
      </c>
      <c r="B340" s="12" t="s">
        <v>318</v>
      </c>
      <c r="C340" s="12" t="s">
        <v>189</v>
      </c>
      <c r="D340" s="13">
        <f>ROUND(1522000,2)</f>
        <v>1522000</v>
      </c>
      <c r="E340" s="13">
        <f t="shared" si="47"/>
        <v>0</v>
      </c>
      <c r="F340" s="13">
        <f t="shared" si="47"/>
        <v>0</v>
      </c>
      <c r="G340" s="13">
        <f>ROUND(1522000,2)</f>
        <v>1522000</v>
      </c>
      <c r="H340" s="13">
        <f>ROUND(219775.21,2)</f>
        <v>219775.21</v>
      </c>
      <c r="I340" s="13">
        <f t="shared" si="45"/>
        <v>0</v>
      </c>
      <c r="J340" s="13">
        <f>ROUND(0,2)</f>
        <v>0</v>
      </c>
      <c r="K340" s="13">
        <f>ROUND(219775.21,2)</f>
        <v>219775.21</v>
      </c>
    </row>
    <row r="341" spans="1:11" ht="34.5">
      <c r="A341" s="11" t="s">
        <v>377</v>
      </c>
      <c r="B341" s="12" t="s">
        <v>392</v>
      </c>
      <c r="C341" s="12" t="s">
        <v>122</v>
      </c>
      <c r="D341" s="13">
        <f>ROUND(462000,2)</f>
        <v>462000</v>
      </c>
      <c r="E341" s="13">
        <f t="shared" si="47"/>
        <v>0</v>
      </c>
      <c r="F341" s="13">
        <f t="shared" si="47"/>
        <v>0</v>
      </c>
      <c r="G341" s="13">
        <f>ROUND(462000,2)</f>
        <v>462000</v>
      </c>
      <c r="H341" s="13">
        <f>ROUND(63828.55,2)</f>
        <v>63828.55</v>
      </c>
      <c r="I341" s="13">
        <f t="shared" si="45"/>
        <v>0</v>
      </c>
      <c r="J341" s="13">
        <f>ROUND(0,2)</f>
        <v>0</v>
      </c>
      <c r="K341" s="13">
        <f>ROUND(63828.55,2)</f>
        <v>63828.55</v>
      </c>
    </row>
    <row r="342" spans="1:11" ht="23.25">
      <c r="A342" s="11" t="s">
        <v>844</v>
      </c>
      <c r="B342" s="12" t="s">
        <v>102</v>
      </c>
      <c r="C342" s="12" t="s">
        <v>238</v>
      </c>
      <c r="D342" s="13">
        <f>ROUND(353733,2)</f>
        <v>353733</v>
      </c>
      <c r="E342" s="13">
        <f>ROUND(0,2)</f>
        <v>0</v>
      </c>
      <c r="F342" s="13">
        <f>ROUND(129000,2)</f>
        <v>129000</v>
      </c>
      <c r="G342" s="13">
        <f>ROUND(224733,2)</f>
        <v>224733</v>
      </c>
      <c r="H342" s="13">
        <f>ROUND(306399.35,2)</f>
        <v>306399.35</v>
      </c>
      <c r="I342" s="13">
        <f aca="true" t="shared" si="48" ref="I342:I373">ROUND(0,2)</f>
        <v>0</v>
      </c>
      <c r="J342" s="13">
        <f>ROUND(128520.8,2)</f>
        <v>128520.8</v>
      </c>
      <c r="K342" s="13">
        <f>ROUND(177878.55,2)</f>
        <v>177878.55</v>
      </c>
    </row>
    <row r="343" spans="1:11" ht="23.25">
      <c r="A343" s="11" t="s">
        <v>386</v>
      </c>
      <c r="B343" s="12" t="s">
        <v>587</v>
      </c>
      <c r="C343" s="12" t="s">
        <v>631</v>
      </c>
      <c r="D343" s="13">
        <f>ROUND(5000,2)</f>
        <v>5000</v>
      </c>
      <c r="E343" s="13">
        <f>ROUND(0,2)</f>
        <v>0</v>
      </c>
      <c r="F343" s="13">
        <f>ROUND(0,2)</f>
        <v>0</v>
      </c>
      <c r="G343" s="13">
        <f>ROUND(5000,2)</f>
        <v>5000</v>
      </c>
      <c r="H343" s="13">
        <f>ROUND(1079.7,2)</f>
        <v>1079.7</v>
      </c>
      <c r="I343" s="13">
        <f t="shared" si="48"/>
        <v>0</v>
      </c>
      <c r="J343" s="13">
        <f>ROUND(0,2)</f>
        <v>0</v>
      </c>
      <c r="K343" s="13">
        <f>ROUND(1079.7,2)</f>
        <v>1079.7</v>
      </c>
    </row>
    <row r="344" spans="1:11" ht="23.25">
      <c r="A344" s="11" t="s">
        <v>609</v>
      </c>
      <c r="B344" s="12" t="s">
        <v>174</v>
      </c>
      <c r="C344" s="12" t="s">
        <v>736</v>
      </c>
      <c r="D344" s="13">
        <f>ROUND(348733,2)</f>
        <v>348733</v>
      </c>
      <c r="E344" s="13">
        <f>ROUND(0,2)</f>
        <v>0</v>
      </c>
      <c r="F344" s="13">
        <f>ROUND(129000,2)</f>
        <v>129000</v>
      </c>
      <c r="G344" s="13">
        <f>ROUND(219733,2)</f>
        <v>219733</v>
      </c>
      <c r="H344" s="13">
        <f>ROUND(305319.65,2)</f>
        <v>305319.65</v>
      </c>
      <c r="I344" s="13">
        <f t="shared" si="48"/>
        <v>0</v>
      </c>
      <c r="J344" s="13">
        <f>ROUND(128520.8,2)</f>
        <v>128520.8</v>
      </c>
      <c r="K344" s="13">
        <f>ROUND(176798.85,2)</f>
        <v>176798.85</v>
      </c>
    </row>
    <row r="345" spans="1:11" ht="34.5">
      <c r="A345" s="11" t="s">
        <v>968</v>
      </c>
      <c r="B345" s="12" t="s">
        <v>910</v>
      </c>
      <c r="C345" s="12" t="s">
        <v>215</v>
      </c>
      <c r="D345" s="13">
        <f>ROUND(0,2)</f>
        <v>0</v>
      </c>
      <c r="E345" s="13">
        <f>ROUND(2582500,2)</f>
        <v>2582500</v>
      </c>
      <c r="F345" s="13">
        <f>ROUND(2582500,2)</f>
        <v>2582500</v>
      </c>
      <c r="G345" s="13">
        <f>ROUND(0,2)</f>
        <v>0</v>
      </c>
      <c r="H345" s="13">
        <f>ROUND(0,2)</f>
        <v>0</v>
      </c>
      <c r="I345" s="13">
        <f t="shared" si="48"/>
        <v>0</v>
      </c>
      <c r="J345" s="13">
        <f>ROUND(0,2)</f>
        <v>0</v>
      </c>
      <c r="K345" s="13">
        <f>ROUND(0,2)</f>
        <v>0</v>
      </c>
    </row>
    <row r="346" spans="1:11" ht="68.25">
      <c r="A346" s="11" t="s">
        <v>493</v>
      </c>
      <c r="B346" s="12" t="s">
        <v>292</v>
      </c>
      <c r="C346" s="12" t="s">
        <v>1033</v>
      </c>
      <c r="D346" s="13">
        <f>ROUND(0,2)</f>
        <v>0</v>
      </c>
      <c r="E346" s="13">
        <f>ROUND(2582500,2)</f>
        <v>2582500</v>
      </c>
      <c r="F346" s="13">
        <f>ROUND(2582500,2)</f>
        <v>2582500</v>
      </c>
      <c r="G346" s="13">
        <f>ROUND(0,2)</f>
        <v>0</v>
      </c>
      <c r="H346" s="13">
        <f>ROUND(0,2)</f>
        <v>0</v>
      </c>
      <c r="I346" s="13">
        <f t="shared" si="48"/>
        <v>0</v>
      </c>
      <c r="J346" s="13">
        <f>ROUND(0,2)</f>
        <v>0</v>
      </c>
      <c r="K346" s="13">
        <f>ROUND(0,2)</f>
        <v>0</v>
      </c>
    </row>
    <row r="347" spans="1:11" ht="34.5">
      <c r="A347" s="11" t="s">
        <v>301</v>
      </c>
      <c r="B347" s="12" t="s">
        <v>694</v>
      </c>
      <c r="C347" s="12" t="s">
        <v>795</v>
      </c>
      <c r="D347" s="13">
        <f>ROUND(2597500,2)</f>
        <v>2597500</v>
      </c>
      <c r="E347" s="13">
        <f aca="true" t="shared" si="49" ref="E347:F349">ROUND(0,2)</f>
        <v>0</v>
      </c>
      <c r="F347" s="13">
        <f t="shared" si="49"/>
        <v>0</v>
      </c>
      <c r="G347" s="13">
        <f>ROUND(2597500,2)</f>
        <v>2597500</v>
      </c>
      <c r="H347" s="13">
        <f>ROUND(530,2)</f>
        <v>530</v>
      </c>
      <c r="I347" s="13">
        <f t="shared" si="48"/>
        <v>0</v>
      </c>
      <c r="J347" s="13">
        <f>ROUND(0,2)</f>
        <v>0</v>
      </c>
      <c r="K347" s="13">
        <f>ROUND(530,2)</f>
        <v>530</v>
      </c>
    </row>
    <row r="348" spans="1:11" ht="34.5">
      <c r="A348" s="11" t="s">
        <v>700</v>
      </c>
      <c r="B348" s="12" t="s">
        <v>967</v>
      </c>
      <c r="C348" s="12" t="s">
        <v>953</v>
      </c>
      <c r="D348" s="13">
        <f>ROUND(2582500,2)</f>
        <v>2582500</v>
      </c>
      <c r="E348" s="13">
        <f t="shared" si="49"/>
        <v>0</v>
      </c>
      <c r="F348" s="13">
        <f t="shared" si="49"/>
        <v>0</v>
      </c>
      <c r="G348" s="13">
        <f>ROUND(2582500,2)</f>
        <v>2582500</v>
      </c>
      <c r="H348" s="13">
        <f>ROUND(0,2)</f>
        <v>0</v>
      </c>
      <c r="I348" s="13">
        <f t="shared" si="48"/>
        <v>0</v>
      </c>
      <c r="J348" s="13">
        <f>ROUND(0,2)</f>
        <v>0</v>
      </c>
      <c r="K348" s="13">
        <f>ROUND(0,2)</f>
        <v>0</v>
      </c>
    </row>
    <row r="349" spans="1:11" ht="45.75">
      <c r="A349" s="11" t="s">
        <v>91</v>
      </c>
      <c r="B349" s="12" t="s">
        <v>675</v>
      </c>
      <c r="C349" s="12" t="s">
        <v>745</v>
      </c>
      <c r="D349" s="13">
        <f>ROUND(15000,2)</f>
        <v>15000</v>
      </c>
      <c r="E349" s="13">
        <f t="shared" si="49"/>
        <v>0</v>
      </c>
      <c r="F349" s="13">
        <f t="shared" si="49"/>
        <v>0</v>
      </c>
      <c r="G349" s="13">
        <f>ROUND(15000,2)</f>
        <v>15000</v>
      </c>
      <c r="H349" s="13">
        <f>ROUND(530,2)</f>
        <v>530</v>
      </c>
      <c r="I349" s="13">
        <f t="shared" si="48"/>
        <v>0</v>
      </c>
      <c r="J349" s="13">
        <f>ROUND(0,2)</f>
        <v>0</v>
      </c>
      <c r="K349" s="13">
        <f>ROUND(530,2)</f>
        <v>530</v>
      </c>
    </row>
    <row r="350" spans="1:11" ht="23.25">
      <c r="A350" s="11" t="s">
        <v>133</v>
      </c>
      <c r="B350" s="12" t="s">
        <v>443</v>
      </c>
      <c r="C350" s="12" t="s">
        <v>1028</v>
      </c>
      <c r="D350" s="13">
        <f>ROUND(412446881.25,2)</f>
        <v>412446881.25</v>
      </c>
      <c r="E350" s="13">
        <f aca="true" t="shared" si="50" ref="E350:E381">ROUND(0,2)</f>
        <v>0</v>
      </c>
      <c r="F350" s="13">
        <f>ROUND(412446881.25,2)</f>
        <v>412446881.25</v>
      </c>
      <c r="G350" s="13">
        <f aca="true" t="shared" si="51" ref="G350:G379">ROUND(0,2)</f>
        <v>0</v>
      </c>
      <c r="H350" s="13">
        <f>ROUND(18179907.86,2)</f>
        <v>18179907.86</v>
      </c>
      <c r="I350" s="13">
        <f t="shared" si="48"/>
        <v>0</v>
      </c>
      <c r="J350" s="13">
        <f>ROUND(18179907.86,2)</f>
        <v>18179907.86</v>
      </c>
      <c r="K350" s="13">
        <f aca="true" t="shared" si="52" ref="K350:K379">ROUND(0,2)</f>
        <v>0</v>
      </c>
    </row>
    <row r="351" spans="1:11" ht="23.25">
      <c r="A351" s="11" t="s">
        <v>626</v>
      </c>
      <c r="B351" s="12" t="s">
        <v>7</v>
      </c>
      <c r="C351" s="12" t="s">
        <v>99</v>
      </c>
      <c r="D351" s="13">
        <f>ROUND(54715603.25,2)</f>
        <v>54715603.25</v>
      </c>
      <c r="E351" s="13">
        <f t="shared" si="50"/>
        <v>0</v>
      </c>
      <c r="F351" s="13">
        <f>ROUND(54715603.25,2)</f>
        <v>54715603.25</v>
      </c>
      <c r="G351" s="13">
        <f t="shared" si="51"/>
        <v>0</v>
      </c>
      <c r="H351" s="13">
        <f>ROUND(16083629.86,2)</f>
        <v>16083629.86</v>
      </c>
      <c r="I351" s="13">
        <f t="shared" si="48"/>
        <v>0</v>
      </c>
      <c r="J351" s="13">
        <f>ROUND(16083629.86,2)</f>
        <v>16083629.86</v>
      </c>
      <c r="K351" s="13">
        <f t="shared" si="52"/>
        <v>0</v>
      </c>
    </row>
    <row r="352" spans="1:11" ht="23.25">
      <c r="A352" s="11" t="s">
        <v>90</v>
      </c>
      <c r="B352" s="12" t="s">
        <v>509</v>
      </c>
      <c r="C352" s="12" t="s">
        <v>238</v>
      </c>
      <c r="D352" s="13">
        <f>ROUND(21174.53,2)</f>
        <v>21174.53</v>
      </c>
      <c r="E352" s="13">
        <f t="shared" si="50"/>
        <v>0</v>
      </c>
      <c r="F352" s="13">
        <f>ROUND(21174.53,2)</f>
        <v>21174.53</v>
      </c>
      <c r="G352" s="13">
        <f t="shared" si="51"/>
        <v>0</v>
      </c>
      <c r="H352" s="13">
        <f>ROUND(21174.53,2)</f>
        <v>21174.53</v>
      </c>
      <c r="I352" s="13">
        <f t="shared" si="48"/>
        <v>0</v>
      </c>
      <c r="J352" s="13">
        <f>ROUND(21174.53,2)</f>
        <v>21174.53</v>
      </c>
      <c r="K352" s="13">
        <f t="shared" si="52"/>
        <v>0</v>
      </c>
    </row>
    <row r="353" spans="1:11" ht="23.25">
      <c r="A353" s="11" t="s">
        <v>361</v>
      </c>
      <c r="B353" s="12" t="s">
        <v>740</v>
      </c>
      <c r="C353" s="12" t="s">
        <v>736</v>
      </c>
      <c r="D353" s="13">
        <f>ROUND(21174.53,2)</f>
        <v>21174.53</v>
      </c>
      <c r="E353" s="13">
        <f t="shared" si="50"/>
        <v>0</v>
      </c>
      <c r="F353" s="13">
        <f>ROUND(21174.53,2)</f>
        <v>21174.53</v>
      </c>
      <c r="G353" s="13">
        <f t="shared" si="51"/>
        <v>0</v>
      </c>
      <c r="H353" s="13">
        <f>ROUND(21174.53,2)</f>
        <v>21174.53</v>
      </c>
      <c r="I353" s="13">
        <f t="shared" si="48"/>
        <v>0</v>
      </c>
      <c r="J353" s="13">
        <f>ROUND(21174.53,2)</f>
        <v>21174.53</v>
      </c>
      <c r="K353" s="13">
        <f t="shared" si="52"/>
        <v>0</v>
      </c>
    </row>
    <row r="354" spans="1:11" ht="34.5">
      <c r="A354" s="11" t="s">
        <v>319</v>
      </c>
      <c r="B354" s="12" t="s">
        <v>23</v>
      </c>
      <c r="C354" s="12" t="s">
        <v>125</v>
      </c>
      <c r="D354" s="13">
        <f>ROUND(54694428.72,2)</f>
        <v>54694428.72</v>
      </c>
      <c r="E354" s="13">
        <f t="shared" si="50"/>
        <v>0</v>
      </c>
      <c r="F354" s="13">
        <f>ROUND(54694428.72,2)</f>
        <v>54694428.72</v>
      </c>
      <c r="G354" s="13">
        <f t="shared" si="51"/>
        <v>0</v>
      </c>
      <c r="H354" s="13">
        <f>ROUND(16062455.33,2)</f>
        <v>16062455.33</v>
      </c>
      <c r="I354" s="13">
        <f t="shared" si="48"/>
        <v>0</v>
      </c>
      <c r="J354" s="13">
        <f>ROUND(16062455.33,2)</f>
        <v>16062455.33</v>
      </c>
      <c r="K354" s="13">
        <f t="shared" si="52"/>
        <v>0</v>
      </c>
    </row>
    <row r="355" spans="1:11" ht="57">
      <c r="A355" s="11" t="s">
        <v>907</v>
      </c>
      <c r="B355" s="12" t="s">
        <v>594</v>
      </c>
      <c r="C355" s="12" t="s">
        <v>741</v>
      </c>
      <c r="D355" s="13">
        <f>ROUND(54152428.72,2)</f>
        <v>54152428.72</v>
      </c>
      <c r="E355" s="13">
        <f t="shared" si="50"/>
        <v>0</v>
      </c>
      <c r="F355" s="13">
        <f>ROUND(54152428.72,2)</f>
        <v>54152428.72</v>
      </c>
      <c r="G355" s="13">
        <f t="shared" si="51"/>
        <v>0</v>
      </c>
      <c r="H355" s="13">
        <f>ROUND(15560455.33,2)</f>
        <v>15560455.33</v>
      </c>
      <c r="I355" s="13">
        <f t="shared" si="48"/>
        <v>0</v>
      </c>
      <c r="J355" s="13">
        <f>ROUND(15560455.33,2)</f>
        <v>15560455.33</v>
      </c>
      <c r="K355" s="13">
        <f t="shared" si="52"/>
        <v>0</v>
      </c>
    </row>
    <row r="356" spans="1:11" ht="79.5">
      <c r="A356" s="11" t="s">
        <v>317</v>
      </c>
      <c r="B356" s="12" t="s">
        <v>163</v>
      </c>
      <c r="C356" s="12" t="s">
        <v>309</v>
      </c>
      <c r="D356" s="13">
        <f>ROUND(542000,2)</f>
        <v>542000</v>
      </c>
      <c r="E356" s="13">
        <f t="shared" si="50"/>
        <v>0</v>
      </c>
      <c r="F356" s="13">
        <f>ROUND(542000,2)</f>
        <v>542000</v>
      </c>
      <c r="G356" s="13">
        <f t="shared" si="51"/>
        <v>0</v>
      </c>
      <c r="H356" s="13">
        <f>ROUND(502000,2)</f>
        <v>502000</v>
      </c>
      <c r="I356" s="13">
        <f t="shared" si="48"/>
        <v>0</v>
      </c>
      <c r="J356" s="13">
        <f>ROUND(502000,2)</f>
        <v>502000</v>
      </c>
      <c r="K356" s="13">
        <f t="shared" si="52"/>
        <v>0</v>
      </c>
    </row>
    <row r="357" spans="1:11" ht="34.5">
      <c r="A357" s="11" t="s">
        <v>562</v>
      </c>
      <c r="B357" s="12" t="s">
        <v>209</v>
      </c>
      <c r="C357" s="12" t="s">
        <v>795</v>
      </c>
      <c r="D357" s="13">
        <f>ROUND(357731278,2)</f>
        <v>357731278</v>
      </c>
      <c r="E357" s="13">
        <f t="shared" si="50"/>
        <v>0</v>
      </c>
      <c r="F357" s="13">
        <f>ROUND(357731278,2)</f>
        <v>357731278</v>
      </c>
      <c r="G357" s="13">
        <f t="shared" si="51"/>
        <v>0</v>
      </c>
      <c r="H357" s="13">
        <f>ROUND(2096278,2)</f>
        <v>2096278</v>
      </c>
      <c r="I357" s="13">
        <f t="shared" si="48"/>
        <v>0</v>
      </c>
      <c r="J357" s="13">
        <f>ROUND(2096278,2)</f>
        <v>2096278</v>
      </c>
      <c r="K357" s="13">
        <f t="shared" si="52"/>
        <v>0</v>
      </c>
    </row>
    <row r="358" spans="1:11" ht="34.5">
      <c r="A358" s="11" t="s">
        <v>446</v>
      </c>
      <c r="B358" s="12" t="s">
        <v>467</v>
      </c>
      <c r="C358" s="12" t="s">
        <v>953</v>
      </c>
      <c r="D358" s="13">
        <f>ROUND(357731278,2)</f>
        <v>357731278</v>
      </c>
      <c r="E358" s="13">
        <f t="shared" si="50"/>
        <v>0</v>
      </c>
      <c r="F358" s="13">
        <f>ROUND(357731278,2)</f>
        <v>357731278</v>
      </c>
      <c r="G358" s="13">
        <f t="shared" si="51"/>
        <v>0</v>
      </c>
      <c r="H358" s="13">
        <f>ROUND(2096278,2)</f>
        <v>2096278</v>
      </c>
      <c r="I358" s="13">
        <f t="shared" si="48"/>
        <v>0</v>
      </c>
      <c r="J358" s="13">
        <f>ROUND(2096278,2)</f>
        <v>2096278</v>
      </c>
      <c r="K358" s="13">
        <f t="shared" si="52"/>
        <v>0</v>
      </c>
    </row>
    <row r="359" spans="1:11" ht="34.5">
      <c r="A359" s="11" t="s">
        <v>371</v>
      </c>
      <c r="B359" s="12" t="s">
        <v>164</v>
      </c>
      <c r="C359" s="12" t="s">
        <v>938</v>
      </c>
      <c r="D359" s="13">
        <f>ROUND(9337000,2)</f>
        <v>9337000</v>
      </c>
      <c r="E359" s="13">
        <f t="shared" si="50"/>
        <v>0</v>
      </c>
      <c r="F359" s="13">
        <f>ROUND(9337000,2)</f>
        <v>9337000</v>
      </c>
      <c r="G359" s="13">
        <f t="shared" si="51"/>
        <v>0</v>
      </c>
      <c r="H359" s="13">
        <f>ROUND(6376897.96,2)</f>
        <v>6376897.96</v>
      </c>
      <c r="I359" s="13">
        <f t="shared" si="48"/>
        <v>0</v>
      </c>
      <c r="J359" s="13">
        <f>ROUND(6376897.96,2)</f>
        <v>6376897.96</v>
      </c>
      <c r="K359" s="13">
        <f t="shared" si="52"/>
        <v>0</v>
      </c>
    </row>
    <row r="360" spans="1:11" ht="23.25">
      <c r="A360" s="11" t="s">
        <v>852</v>
      </c>
      <c r="B360" s="12" t="s">
        <v>278</v>
      </c>
      <c r="C360" s="12" t="s">
        <v>99</v>
      </c>
      <c r="D360" s="13">
        <f>ROUND(9337000,2)</f>
        <v>9337000</v>
      </c>
      <c r="E360" s="13">
        <f t="shared" si="50"/>
        <v>0</v>
      </c>
      <c r="F360" s="13">
        <f>ROUND(9337000,2)</f>
        <v>9337000</v>
      </c>
      <c r="G360" s="13">
        <f t="shared" si="51"/>
        <v>0</v>
      </c>
      <c r="H360" s="13">
        <f>ROUND(6376897.96,2)</f>
        <v>6376897.96</v>
      </c>
      <c r="I360" s="13">
        <f t="shared" si="48"/>
        <v>0</v>
      </c>
      <c r="J360" s="13">
        <f>ROUND(6376897.96,2)</f>
        <v>6376897.96</v>
      </c>
      <c r="K360" s="13">
        <f t="shared" si="52"/>
        <v>0</v>
      </c>
    </row>
    <row r="361" spans="1:11" ht="34.5">
      <c r="A361" s="11" t="s">
        <v>825</v>
      </c>
      <c r="B361" s="12" t="s">
        <v>263</v>
      </c>
      <c r="C361" s="12" t="s">
        <v>125</v>
      </c>
      <c r="D361" s="13">
        <f>ROUND(9337000,2)</f>
        <v>9337000</v>
      </c>
      <c r="E361" s="13">
        <f t="shared" si="50"/>
        <v>0</v>
      </c>
      <c r="F361" s="13">
        <f>ROUND(9337000,2)</f>
        <v>9337000</v>
      </c>
      <c r="G361" s="13">
        <f t="shared" si="51"/>
        <v>0</v>
      </c>
      <c r="H361" s="13">
        <f>ROUND(6376897.96,2)</f>
        <v>6376897.96</v>
      </c>
      <c r="I361" s="13">
        <f t="shared" si="48"/>
        <v>0</v>
      </c>
      <c r="J361" s="13">
        <f>ROUND(6376897.96,2)</f>
        <v>6376897.96</v>
      </c>
      <c r="K361" s="13">
        <f t="shared" si="52"/>
        <v>0</v>
      </c>
    </row>
    <row r="362" spans="1:11" ht="57">
      <c r="A362" s="11" t="s">
        <v>337</v>
      </c>
      <c r="B362" s="12" t="s">
        <v>874</v>
      </c>
      <c r="C362" s="12" t="s">
        <v>741</v>
      </c>
      <c r="D362" s="13">
        <f>ROUND(9337000,2)</f>
        <v>9337000</v>
      </c>
      <c r="E362" s="13">
        <f t="shared" si="50"/>
        <v>0</v>
      </c>
      <c r="F362" s="13">
        <f>ROUND(9337000,2)</f>
        <v>9337000</v>
      </c>
      <c r="G362" s="13">
        <f t="shared" si="51"/>
        <v>0</v>
      </c>
      <c r="H362" s="13">
        <f>ROUND(6376897.96,2)</f>
        <v>6376897.96</v>
      </c>
      <c r="I362" s="13">
        <f t="shared" si="48"/>
        <v>0</v>
      </c>
      <c r="J362" s="13">
        <f>ROUND(6376897.96,2)</f>
        <v>6376897.96</v>
      </c>
      <c r="K362" s="13">
        <f t="shared" si="52"/>
        <v>0</v>
      </c>
    </row>
    <row r="363" spans="1:11" ht="23.25">
      <c r="A363" s="11" t="s">
        <v>1037</v>
      </c>
      <c r="B363" s="12" t="s">
        <v>919</v>
      </c>
      <c r="C363" s="12" t="s">
        <v>648</v>
      </c>
      <c r="D363" s="13">
        <f>ROUND(30525000,2)</f>
        <v>30525000</v>
      </c>
      <c r="E363" s="13">
        <f t="shared" si="50"/>
        <v>0</v>
      </c>
      <c r="F363" s="13">
        <f>ROUND(30525000,2)</f>
        <v>30525000</v>
      </c>
      <c r="G363" s="13">
        <f t="shared" si="51"/>
        <v>0</v>
      </c>
      <c r="H363" s="13">
        <f>ROUND(6202047.37,2)</f>
        <v>6202047.37</v>
      </c>
      <c r="I363" s="13">
        <f t="shared" si="48"/>
        <v>0</v>
      </c>
      <c r="J363" s="13">
        <f>ROUND(6202047.37,2)</f>
        <v>6202047.37</v>
      </c>
      <c r="K363" s="13">
        <f t="shared" si="52"/>
        <v>0</v>
      </c>
    </row>
    <row r="364" spans="1:11" ht="23.25">
      <c r="A364" s="11" t="s">
        <v>285</v>
      </c>
      <c r="B364" s="12" t="s">
        <v>584</v>
      </c>
      <c r="C364" s="12" t="s">
        <v>99</v>
      </c>
      <c r="D364" s="13">
        <f>ROUND(30525000,2)</f>
        <v>30525000</v>
      </c>
      <c r="E364" s="13">
        <f t="shared" si="50"/>
        <v>0</v>
      </c>
      <c r="F364" s="13">
        <f>ROUND(30525000,2)</f>
        <v>30525000</v>
      </c>
      <c r="G364" s="13">
        <f t="shared" si="51"/>
        <v>0</v>
      </c>
      <c r="H364" s="13">
        <f>ROUND(6202047.37,2)</f>
        <v>6202047.37</v>
      </c>
      <c r="I364" s="13">
        <f t="shared" si="48"/>
        <v>0</v>
      </c>
      <c r="J364" s="13">
        <f>ROUND(6202047.37,2)</f>
        <v>6202047.37</v>
      </c>
      <c r="K364" s="13">
        <f t="shared" si="52"/>
        <v>0</v>
      </c>
    </row>
    <row r="365" spans="1:11" ht="34.5">
      <c r="A365" s="11" t="s">
        <v>20</v>
      </c>
      <c r="B365" s="12" t="s">
        <v>567</v>
      </c>
      <c r="C365" s="12" t="s">
        <v>125</v>
      </c>
      <c r="D365" s="13">
        <f>ROUND(30525000,2)</f>
        <v>30525000</v>
      </c>
      <c r="E365" s="13">
        <f t="shared" si="50"/>
        <v>0</v>
      </c>
      <c r="F365" s="13">
        <f>ROUND(30525000,2)</f>
        <v>30525000</v>
      </c>
      <c r="G365" s="13">
        <f t="shared" si="51"/>
        <v>0</v>
      </c>
      <c r="H365" s="13">
        <f>ROUND(6202047.37,2)</f>
        <v>6202047.37</v>
      </c>
      <c r="I365" s="13">
        <f t="shared" si="48"/>
        <v>0</v>
      </c>
      <c r="J365" s="13">
        <f>ROUND(6202047.37,2)</f>
        <v>6202047.37</v>
      </c>
      <c r="K365" s="13">
        <f t="shared" si="52"/>
        <v>0</v>
      </c>
    </row>
    <row r="366" spans="1:11" ht="57">
      <c r="A366" s="11" t="s">
        <v>608</v>
      </c>
      <c r="B366" s="12" t="s">
        <v>118</v>
      </c>
      <c r="C366" s="12" t="s">
        <v>741</v>
      </c>
      <c r="D366" s="13">
        <f>ROUND(29983000,2)</f>
        <v>29983000</v>
      </c>
      <c r="E366" s="13">
        <f t="shared" si="50"/>
        <v>0</v>
      </c>
      <c r="F366" s="13">
        <f>ROUND(29983000,2)</f>
        <v>29983000</v>
      </c>
      <c r="G366" s="13">
        <f t="shared" si="51"/>
        <v>0</v>
      </c>
      <c r="H366" s="13">
        <f>ROUND(5700047.37,2)</f>
        <v>5700047.37</v>
      </c>
      <c r="I366" s="13">
        <f t="shared" si="48"/>
        <v>0</v>
      </c>
      <c r="J366" s="13">
        <f>ROUND(5700047.37,2)</f>
        <v>5700047.37</v>
      </c>
      <c r="K366" s="13">
        <f t="shared" si="52"/>
        <v>0</v>
      </c>
    </row>
    <row r="367" spans="1:11" ht="79.5">
      <c r="A367" s="11" t="s">
        <v>10</v>
      </c>
      <c r="B367" s="12" t="s">
        <v>667</v>
      </c>
      <c r="C367" s="12" t="s">
        <v>309</v>
      </c>
      <c r="D367" s="13">
        <f>ROUND(542000,2)</f>
        <v>542000</v>
      </c>
      <c r="E367" s="13">
        <f t="shared" si="50"/>
        <v>0</v>
      </c>
      <c r="F367" s="13">
        <f>ROUND(542000,2)</f>
        <v>542000</v>
      </c>
      <c r="G367" s="13">
        <f t="shared" si="51"/>
        <v>0</v>
      </c>
      <c r="H367" s="13">
        <f>ROUND(502000,2)</f>
        <v>502000</v>
      </c>
      <c r="I367" s="13">
        <f t="shared" si="48"/>
        <v>0</v>
      </c>
      <c r="J367" s="13">
        <f>ROUND(502000,2)</f>
        <v>502000</v>
      </c>
      <c r="K367" s="13">
        <f t="shared" si="52"/>
        <v>0</v>
      </c>
    </row>
    <row r="368" spans="1:11" ht="34.5">
      <c r="A368" s="11" t="s">
        <v>246</v>
      </c>
      <c r="B368" s="12" t="s">
        <v>206</v>
      </c>
      <c r="C368" s="12" t="s">
        <v>528</v>
      </c>
      <c r="D368" s="13">
        <f>ROUND(13798000,2)</f>
        <v>13798000</v>
      </c>
      <c r="E368" s="13">
        <f t="shared" si="50"/>
        <v>0</v>
      </c>
      <c r="F368" s="13">
        <f>ROUND(13798000,2)</f>
        <v>13798000</v>
      </c>
      <c r="G368" s="13">
        <f t="shared" si="51"/>
        <v>0</v>
      </c>
      <c r="H368" s="13">
        <f>ROUND(3483510,2)</f>
        <v>3483510</v>
      </c>
      <c r="I368" s="13">
        <f t="shared" si="48"/>
        <v>0</v>
      </c>
      <c r="J368" s="13">
        <f>ROUND(3483510,2)</f>
        <v>3483510</v>
      </c>
      <c r="K368" s="13">
        <f t="shared" si="52"/>
        <v>0</v>
      </c>
    </row>
    <row r="369" spans="1:11" ht="23.25">
      <c r="A369" s="11" t="s">
        <v>536</v>
      </c>
      <c r="B369" s="12" t="s">
        <v>378</v>
      </c>
      <c r="C369" s="12" t="s">
        <v>99</v>
      </c>
      <c r="D369" s="13">
        <f>ROUND(13798000,2)</f>
        <v>13798000</v>
      </c>
      <c r="E369" s="13">
        <f t="shared" si="50"/>
        <v>0</v>
      </c>
      <c r="F369" s="13">
        <f>ROUND(13798000,2)</f>
        <v>13798000</v>
      </c>
      <c r="G369" s="13">
        <f t="shared" si="51"/>
        <v>0</v>
      </c>
      <c r="H369" s="13">
        <f>ROUND(3483510,2)</f>
        <v>3483510</v>
      </c>
      <c r="I369" s="13">
        <f t="shared" si="48"/>
        <v>0</v>
      </c>
      <c r="J369" s="13">
        <f>ROUND(3483510,2)</f>
        <v>3483510</v>
      </c>
      <c r="K369" s="13">
        <f t="shared" si="52"/>
        <v>0</v>
      </c>
    </row>
    <row r="370" spans="1:11" ht="34.5">
      <c r="A370" s="11" t="s">
        <v>304</v>
      </c>
      <c r="B370" s="12" t="s">
        <v>389</v>
      </c>
      <c r="C370" s="12" t="s">
        <v>125</v>
      </c>
      <c r="D370" s="13">
        <f>ROUND(13798000,2)</f>
        <v>13798000</v>
      </c>
      <c r="E370" s="13">
        <f t="shared" si="50"/>
        <v>0</v>
      </c>
      <c r="F370" s="13">
        <f>ROUND(13798000,2)</f>
        <v>13798000</v>
      </c>
      <c r="G370" s="13">
        <f t="shared" si="51"/>
        <v>0</v>
      </c>
      <c r="H370" s="13">
        <f>ROUND(3483510,2)</f>
        <v>3483510</v>
      </c>
      <c r="I370" s="13">
        <f t="shared" si="48"/>
        <v>0</v>
      </c>
      <c r="J370" s="13">
        <f>ROUND(3483510,2)</f>
        <v>3483510</v>
      </c>
      <c r="K370" s="13">
        <f t="shared" si="52"/>
        <v>0</v>
      </c>
    </row>
    <row r="371" spans="1:11" ht="57">
      <c r="A371" s="11" t="s">
        <v>894</v>
      </c>
      <c r="B371" s="12" t="s">
        <v>835</v>
      </c>
      <c r="C371" s="12" t="s">
        <v>741</v>
      </c>
      <c r="D371" s="13">
        <f>ROUND(13798000,2)</f>
        <v>13798000</v>
      </c>
      <c r="E371" s="13">
        <f t="shared" si="50"/>
        <v>0</v>
      </c>
      <c r="F371" s="13">
        <f>ROUND(13798000,2)</f>
        <v>13798000</v>
      </c>
      <c r="G371" s="13">
        <f t="shared" si="51"/>
        <v>0</v>
      </c>
      <c r="H371" s="13">
        <f>ROUND(3483510,2)</f>
        <v>3483510</v>
      </c>
      <c r="I371" s="13">
        <f t="shared" si="48"/>
        <v>0</v>
      </c>
      <c r="J371" s="13">
        <f>ROUND(3483510,2)</f>
        <v>3483510</v>
      </c>
      <c r="K371" s="13">
        <f t="shared" si="52"/>
        <v>0</v>
      </c>
    </row>
    <row r="372" spans="1:11" ht="34.5">
      <c r="A372" s="11" t="s">
        <v>744</v>
      </c>
      <c r="B372" s="12" t="s">
        <v>620</v>
      </c>
      <c r="C372" s="12" t="s">
        <v>277</v>
      </c>
      <c r="D372" s="13">
        <f>ROUND(358786881.25,2)</f>
        <v>358786881.25</v>
      </c>
      <c r="E372" s="13">
        <f t="shared" si="50"/>
        <v>0</v>
      </c>
      <c r="F372" s="13">
        <f>ROUND(358786881.25,2)</f>
        <v>358786881.25</v>
      </c>
      <c r="G372" s="13">
        <f t="shared" si="51"/>
        <v>0</v>
      </c>
      <c r="H372" s="13">
        <f>ROUND(2117452.53,2)</f>
        <v>2117452.53</v>
      </c>
      <c r="I372" s="13">
        <f t="shared" si="48"/>
        <v>0</v>
      </c>
      <c r="J372" s="13">
        <f>ROUND(2117452.53,2)</f>
        <v>2117452.53</v>
      </c>
      <c r="K372" s="13">
        <f t="shared" si="52"/>
        <v>0</v>
      </c>
    </row>
    <row r="373" spans="1:11" ht="23.25">
      <c r="A373" s="11" t="s">
        <v>127</v>
      </c>
      <c r="B373" s="12" t="s">
        <v>1004</v>
      </c>
      <c r="C373" s="12" t="s">
        <v>99</v>
      </c>
      <c r="D373" s="13">
        <f>ROUND(1055603.25,2)</f>
        <v>1055603.25</v>
      </c>
      <c r="E373" s="13">
        <f t="shared" si="50"/>
        <v>0</v>
      </c>
      <c r="F373" s="13">
        <f>ROUND(1055603.25,2)</f>
        <v>1055603.25</v>
      </c>
      <c r="G373" s="13">
        <f t="shared" si="51"/>
        <v>0</v>
      </c>
      <c r="H373" s="13">
        <f>ROUND(21174.53,2)</f>
        <v>21174.53</v>
      </c>
      <c r="I373" s="13">
        <f t="shared" si="48"/>
        <v>0</v>
      </c>
      <c r="J373" s="13">
        <f>ROUND(21174.53,2)</f>
        <v>21174.53</v>
      </c>
      <c r="K373" s="13">
        <f t="shared" si="52"/>
        <v>0</v>
      </c>
    </row>
    <row r="374" spans="1:11" ht="23.25">
      <c r="A374" s="11" t="s">
        <v>437</v>
      </c>
      <c r="B374" s="12" t="s">
        <v>466</v>
      </c>
      <c r="C374" s="12" t="s">
        <v>238</v>
      </c>
      <c r="D374" s="13">
        <f>ROUND(21174.53,2)</f>
        <v>21174.53</v>
      </c>
      <c r="E374" s="13">
        <f t="shared" si="50"/>
        <v>0</v>
      </c>
      <c r="F374" s="13">
        <f>ROUND(21174.53,2)</f>
        <v>21174.53</v>
      </c>
      <c r="G374" s="13">
        <f t="shared" si="51"/>
        <v>0</v>
      </c>
      <c r="H374" s="13">
        <f>ROUND(21174.53,2)</f>
        <v>21174.53</v>
      </c>
      <c r="I374" s="13">
        <f aca="true" t="shared" si="53" ref="I374:I405">ROUND(0,2)</f>
        <v>0</v>
      </c>
      <c r="J374" s="13">
        <f>ROUND(21174.53,2)</f>
        <v>21174.53</v>
      </c>
      <c r="K374" s="13">
        <f t="shared" si="52"/>
        <v>0</v>
      </c>
    </row>
    <row r="375" spans="1:11" ht="23.25">
      <c r="A375" s="11" t="s">
        <v>459</v>
      </c>
      <c r="B375" s="12" t="s">
        <v>268</v>
      </c>
      <c r="C375" s="12" t="s">
        <v>736</v>
      </c>
      <c r="D375" s="13">
        <f>ROUND(21174.53,2)</f>
        <v>21174.53</v>
      </c>
      <c r="E375" s="13">
        <f t="shared" si="50"/>
        <v>0</v>
      </c>
      <c r="F375" s="13">
        <f>ROUND(21174.53,2)</f>
        <v>21174.53</v>
      </c>
      <c r="G375" s="13">
        <f t="shared" si="51"/>
        <v>0</v>
      </c>
      <c r="H375" s="13">
        <f>ROUND(21174.53,2)</f>
        <v>21174.53</v>
      </c>
      <c r="I375" s="13">
        <f t="shared" si="53"/>
        <v>0</v>
      </c>
      <c r="J375" s="13">
        <f>ROUND(21174.53,2)</f>
        <v>21174.53</v>
      </c>
      <c r="K375" s="13">
        <f t="shared" si="52"/>
        <v>0</v>
      </c>
    </row>
    <row r="376" spans="1:11" ht="34.5">
      <c r="A376" s="11" t="s">
        <v>179</v>
      </c>
      <c r="B376" s="12" t="s">
        <v>979</v>
      </c>
      <c r="C376" s="12" t="s">
        <v>125</v>
      </c>
      <c r="D376" s="13">
        <f>ROUND(1034428.72,2)</f>
        <v>1034428.72</v>
      </c>
      <c r="E376" s="13">
        <f t="shared" si="50"/>
        <v>0</v>
      </c>
      <c r="F376" s="13">
        <f>ROUND(1034428.72,2)</f>
        <v>1034428.72</v>
      </c>
      <c r="G376" s="13">
        <f t="shared" si="51"/>
        <v>0</v>
      </c>
      <c r="H376" s="13">
        <f>ROUND(0,2)</f>
        <v>0</v>
      </c>
      <c r="I376" s="13">
        <f t="shared" si="53"/>
        <v>0</v>
      </c>
      <c r="J376" s="13">
        <f>ROUND(0,2)</f>
        <v>0</v>
      </c>
      <c r="K376" s="13">
        <f t="shared" si="52"/>
        <v>0</v>
      </c>
    </row>
    <row r="377" spans="1:11" ht="57">
      <c r="A377" s="11" t="s">
        <v>765</v>
      </c>
      <c r="B377" s="12" t="s">
        <v>410</v>
      </c>
      <c r="C377" s="12" t="s">
        <v>741</v>
      </c>
      <c r="D377" s="13">
        <f>ROUND(1034428.72,2)</f>
        <v>1034428.72</v>
      </c>
      <c r="E377" s="13">
        <f t="shared" si="50"/>
        <v>0</v>
      </c>
      <c r="F377" s="13">
        <f>ROUND(1034428.72,2)</f>
        <v>1034428.72</v>
      </c>
      <c r="G377" s="13">
        <f t="shared" si="51"/>
        <v>0</v>
      </c>
      <c r="H377" s="13">
        <f>ROUND(0,2)</f>
        <v>0</v>
      </c>
      <c r="I377" s="13">
        <f t="shared" si="53"/>
        <v>0</v>
      </c>
      <c r="J377" s="13">
        <f>ROUND(0,2)</f>
        <v>0</v>
      </c>
      <c r="K377" s="13">
        <f t="shared" si="52"/>
        <v>0</v>
      </c>
    </row>
    <row r="378" spans="1:11" ht="34.5">
      <c r="A378" s="11" t="s">
        <v>918</v>
      </c>
      <c r="B378" s="12" t="s">
        <v>789</v>
      </c>
      <c r="C378" s="12" t="s">
        <v>795</v>
      </c>
      <c r="D378" s="13">
        <f>ROUND(357731278,2)</f>
        <v>357731278</v>
      </c>
      <c r="E378" s="13">
        <f t="shared" si="50"/>
        <v>0</v>
      </c>
      <c r="F378" s="13">
        <f>ROUND(357731278,2)</f>
        <v>357731278</v>
      </c>
      <c r="G378" s="13">
        <f t="shared" si="51"/>
        <v>0</v>
      </c>
      <c r="H378" s="13">
        <f>ROUND(2096278,2)</f>
        <v>2096278</v>
      </c>
      <c r="I378" s="13">
        <f t="shared" si="53"/>
        <v>0</v>
      </c>
      <c r="J378" s="13">
        <f>ROUND(2096278,2)</f>
        <v>2096278</v>
      </c>
      <c r="K378" s="13">
        <f t="shared" si="52"/>
        <v>0</v>
      </c>
    </row>
    <row r="379" spans="1:11" ht="34.5">
      <c r="A379" s="11" t="s">
        <v>300</v>
      </c>
      <c r="B379" s="12" t="s">
        <v>508</v>
      </c>
      <c r="C379" s="12" t="s">
        <v>953</v>
      </c>
      <c r="D379" s="13">
        <f>ROUND(357731278,2)</f>
        <v>357731278</v>
      </c>
      <c r="E379" s="13">
        <f t="shared" si="50"/>
        <v>0</v>
      </c>
      <c r="F379" s="13">
        <f>ROUND(357731278,2)</f>
        <v>357731278</v>
      </c>
      <c r="G379" s="13">
        <f t="shared" si="51"/>
        <v>0</v>
      </c>
      <c r="H379" s="13">
        <f>ROUND(2096278,2)</f>
        <v>2096278</v>
      </c>
      <c r="I379" s="13">
        <f t="shared" si="53"/>
        <v>0</v>
      </c>
      <c r="J379" s="13">
        <f>ROUND(2096278,2)</f>
        <v>2096278</v>
      </c>
      <c r="K379" s="13">
        <f t="shared" si="52"/>
        <v>0</v>
      </c>
    </row>
    <row r="380" spans="1:11" ht="23.25">
      <c r="A380" s="11" t="s">
        <v>74</v>
      </c>
      <c r="B380" s="12" t="s">
        <v>484</v>
      </c>
      <c r="C380" s="12" t="s">
        <v>1016</v>
      </c>
      <c r="D380" s="13">
        <f>ROUND(22416050,2)</f>
        <v>22416050</v>
      </c>
      <c r="E380" s="13">
        <f t="shared" si="50"/>
        <v>0</v>
      </c>
      <c r="F380" s="13">
        <f>ROUND(20494415,2)</f>
        <v>20494415</v>
      </c>
      <c r="G380" s="13">
        <f>ROUND(1921635,2)</f>
        <v>1921635</v>
      </c>
      <c r="H380" s="13">
        <f>ROUND(7107972.65,2)</f>
        <v>7107972.65</v>
      </c>
      <c r="I380" s="13">
        <f t="shared" si="53"/>
        <v>0</v>
      </c>
      <c r="J380" s="13">
        <f>ROUND(5654270.72,2)</f>
        <v>5654270.72</v>
      </c>
      <c r="K380" s="13">
        <f>ROUND(1453701.93,2)</f>
        <v>1453701.93</v>
      </c>
    </row>
    <row r="381" spans="1:11" ht="23.25">
      <c r="A381" s="11" t="s">
        <v>707</v>
      </c>
      <c r="B381" s="12" t="s">
        <v>88</v>
      </c>
      <c r="C381" s="12" t="s">
        <v>99</v>
      </c>
      <c r="D381" s="13">
        <f>ROUND(22416050,2)</f>
        <v>22416050</v>
      </c>
      <c r="E381" s="13">
        <f t="shared" si="50"/>
        <v>0</v>
      </c>
      <c r="F381" s="13">
        <f>ROUND(20494415,2)</f>
        <v>20494415</v>
      </c>
      <c r="G381" s="13">
        <f>ROUND(1921635,2)</f>
        <v>1921635</v>
      </c>
      <c r="H381" s="13">
        <f>ROUND(7107972.65,2)</f>
        <v>7107972.65</v>
      </c>
      <c r="I381" s="13">
        <f t="shared" si="53"/>
        <v>0</v>
      </c>
      <c r="J381" s="13">
        <f>ROUND(5654270.72,2)</f>
        <v>5654270.72</v>
      </c>
      <c r="K381" s="13">
        <f>ROUND(1453701.93,2)</f>
        <v>1453701.93</v>
      </c>
    </row>
    <row r="382" spans="1:11" ht="23.25">
      <c r="A382" s="11" t="s">
        <v>129</v>
      </c>
      <c r="B382" s="12" t="s">
        <v>606</v>
      </c>
      <c r="C382" s="12" t="s">
        <v>238</v>
      </c>
      <c r="D382" s="13">
        <f>ROUND(1488000,2)</f>
        <v>1488000</v>
      </c>
      <c r="E382" s="13">
        <f aca="true" t="shared" si="54" ref="E382:E413">ROUND(0,2)</f>
        <v>0</v>
      </c>
      <c r="F382" s="13">
        <f>ROUND(1488000,2)</f>
        <v>1488000</v>
      </c>
      <c r="G382" s="13">
        <f>ROUND(0,2)</f>
        <v>0</v>
      </c>
      <c r="H382" s="13">
        <f>ROUND(384875.29,2)</f>
        <v>384875.29</v>
      </c>
      <c r="I382" s="13">
        <f t="shared" si="53"/>
        <v>0</v>
      </c>
      <c r="J382" s="13">
        <f>ROUND(384875.29,2)</f>
        <v>384875.29</v>
      </c>
      <c r="K382" s="13">
        <f>ROUND(0,2)</f>
        <v>0</v>
      </c>
    </row>
    <row r="383" spans="1:11" ht="23.25">
      <c r="A383" s="11" t="s">
        <v>188</v>
      </c>
      <c r="B383" s="12" t="s">
        <v>656</v>
      </c>
      <c r="C383" s="12" t="s">
        <v>736</v>
      </c>
      <c r="D383" s="13">
        <f>ROUND(1488000,2)</f>
        <v>1488000</v>
      </c>
      <c r="E383" s="13">
        <f t="shared" si="54"/>
        <v>0</v>
      </c>
      <c r="F383" s="13">
        <f>ROUND(1488000,2)</f>
        <v>1488000</v>
      </c>
      <c r="G383" s="13">
        <f>ROUND(0,2)</f>
        <v>0</v>
      </c>
      <c r="H383" s="13">
        <f>ROUND(384875.29,2)</f>
        <v>384875.29</v>
      </c>
      <c r="I383" s="13">
        <f t="shared" si="53"/>
        <v>0</v>
      </c>
      <c r="J383" s="13">
        <f>ROUND(384875.29,2)</f>
        <v>384875.29</v>
      </c>
      <c r="K383" s="13">
        <f>ROUND(0,2)</f>
        <v>0</v>
      </c>
    </row>
    <row r="384" spans="1:11" ht="34.5">
      <c r="A384" s="11" t="s">
        <v>157</v>
      </c>
      <c r="B384" s="12" t="s">
        <v>63</v>
      </c>
      <c r="C384" s="12" t="s">
        <v>125</v>
      </c>
      <c r="D384" s="13">
        <f>ROUND(200000,2)</f>
        <v>200000</v>
      </c>
      <c r="E384" s="13">
        <f t="shared" si="54"/>
        <v>0</v>
      </c>
      <c r="F384" s="13">
        <f>ROUND(200000,2)</f>
        <v>200000</v>
      </c>
      <c r="G384" s="13">
        <f>ROUND(0,2)</f>
        <v>0</v>
      </c>
      <c r="H384" s="13">
        <f>ROUND(25000,2)</f>
        <v>25000</v>
      </c>
      <c r="I384" s="13">
        <f t="shared" si="53"/>
        <v>0</v>
      </c>
      <c r="J384" s="13">
        <f>ROUND(25000,2)</f>
        <v>25000</v>
      </c>
      <c r="K384" s="13">
        <f>ROUND(0,2)</f>
        <v>0</v>
      </c>
    </row>
    <row r="385" spans="1:11" ht="79.5">
      <c r="A385" s="11" t="s">
        <v>180</v>
      </c>
      <c r="B385" s="12" t="s">
        <v>250</v>
      </c>
      <c r="C385" s="12" t="s">
        <v>309</v>
      </c>
      <c r="D385" s="13">
        <f>ROUND(200000,2)</f>
        <v>200000</v>
      </c>
      <c r="E385" s="13">
        <f t="shared" si="54"/>
        <v>0</v>
      </c>
      <c r="F385" s="13">
        <f>ROUND(200000,2)</f>
        <v>200000</v>
      </c>
      <c r="G385" s="13">
        <f>ROUND(0,2)</f>
        <v>0</v>
      </c>
      <c r="H385" s="13">
        <f>ROUND(25000,2)</f>
        <v>25000</v>
      </c>
      <c r="I385" s="13">
        <f t="shared" si="53"/>
        <v>0</v>
      </c>
      <c r="J385" s="13">
        <f>ROUND(25000,2)</f>
        <v>25000</v>
      </c>
      <c r="K385" s="13">
        <f>ROUND(0,2)</f>
        <v>0</v>
      </c>
    </row>
    <row r="386" spans="1:11" ht="23.25">
      <c r="A386" s="11" t="s">
        <v>330</v>
      </c>
      <c r="B386" s="12" t="s">
        <v>593</v>
      </c>
      <c r="C386" s="12" t="s">
        <v>267</v>
      </c>
      <c r="D386" s="13">
        <f>ROUND(20728050,2)</f>
        <v>20728050</v>
      </c>
      <c r="E386" s="13">
        <f t="shared" si="54"/>
        <v>0</v>
      </c>
      <c r="F386" s="13">
        <f>ROUND(18806415,2)</f>
        <v>18806415</v>
      </c>
      <c r="G386" s="13">
        <f>ROUND(1921635,2)</f>
        <v>1921635</v>
      </c>
      <c r="H386" s="13">
        <f>ROUND(6698097.36,2)</f>
        <v>6698097.36</v>
      </c>
      <c r="I386" s="13">
        <f t="shared" si="53"/>
        <v>0</v>
      </c>
      <c r="J386" s="13">
        <f>ROUND(5244395.43,2)</f>
        <v>5244395.43</v>
      </c>
      <c r="K386" s="13">
        <f>ROUND(1453701.93,2)</f>
        <v>1453701.93</v>
      </c>
    </row>
    <row r="387" spans="1:11" ht="45.75">
      <c r="A387" s="11" t="s">
        <v>494</v>
      </c>
      <c r="B387" s="12" t="s">
        <v>766</v>
      </c>
      <c r="C387" s="12" t="s">
        <v>112</v>
      </c>
      <c r="D387" s="13">
        <f>ROUND(16947415,2)</f>
        <v>16947415</v>
      </c>
      <c r="E387" s="13">
        <f t="shared" si="54"/>
        <v>0</v>
      </c>
      <c r="F387" s="13">
        <f>ROUND(16806415,2)</f>
        <v>16806415</v>
      </c>
      <c r="G387" s="13">
        <f>ROUND(141000,2)</f>
        <v>141000</v>
      </c>
      <c r="H387" s="13">
        <f>ROUND(4486009.69,2)</f>
        <v>4486009.69</v>
      </c>
      <c r="I387" s="13">
        <f t="shared" si="53"/>
        <v>0</v>
      </c>
      <c r="J387" s="13">
        <f>ROUND(4395009.69,2)</f>
        <v>4395009.69</v>
      </c>
      <c r="K387" s="13">
        <f>ROUND(91000,2)</f>
        <v>91000</v>
      </c>
    </row>
    <row r="388" spans="1:11" ht="68.25">
      <c r="A388" s="11" t="s">
        <v>956</v>
      </c>
      <c r="B388" s="12" t="s">
        <v>162</v>
      </c>
      <c r="C388" s="12" t="s">
        <v>184</v>
      </c>
      <c r="D388" s="13">
        <f>ROUND(3780635,2)</f>
        <v>3780635</v>
      </c>
      <c r="E388" s="13">
        <f t="shared" si="54"/>
        <v>0</v>
      </c>
      <c r="F388" s="13">
        <f>ROUND(2000000,2)</f>
        <v>2000000</v>
      </c>
      <c r="G388" s="13">
        <f>ROUND(1780635,2)</f>
        <v>1780635</v>
      </c>
      <c r="H388" s="13">
        <f>ROUND(2212087.67,2)</f>
        <v>2212087.67</v>
      </c>
      <c r="I388" s="13">
        <f t="shared" si="53"/>
        <v>0</v>
      </c>
      <c r="J388" s="13">
        <f>ROUND(849385.74,2)</f>
        <v>849385.74</v>
      </c>
      <c r="K388" s="13">
        <f>ROUND(1362701.93,2)</f>
        <v>1362701.93</v>
      </c>
    </row>
    <row r="389" spans="1:11" ht="23.25">
      <c r="A389" s="11" t="s">
        <v>243</v>
      </c>
      <c r="B389" s="12" t="s">
        <v>249</v>
      </c>
      <c r="C389" s="12" t="s">
        <v>720</v>
      </c>
      <c r="D389" s="13">
        <f>ROUND(3785635,2)</f>
        <v>3785635</v>
      </c>
      <c r="E389" s="13">
        <f t="shared" si="54"/>
        <v>0</v>
      </c>
      <c r="F389" s="13">
        <f>ROUND(2000000,2)</f>
        <v>2000000</v>
      </c>
      <c r="G389" s="13">
        <f>ROUND(1785635,2)</f>
        <v>1785635</v>
      </c>
      <c r="H389" s="13">
        <f>ROUND(2212087.67,2)</f>
        <v>2212087.67</v>
      </c>
      <c r="I389" s="13">
        <f t="shared" si="53"/>
        <v>0</v>
      </c>
      <c r="J389" s="13">
        <f>ROUND(849385.74,2)</f>
        <v>849385.74</v>
      </c>
      <c r="K389" s="13">
        <f>ROUND(1362701.93,2)</f>
        <v>1362701.93</v>
      </c>
    </row>
    <row r="390" spans="1:11" ht="23.25">
      <c r="A390" s="11" t="s">
        <v>689</v>
      </c>
      <c r="B390" s="12" t="s">
        <v>329</v>
      </c>
      <c r="C390" s="12" t="s">
        <v>99</v>
      </c>
      <c r="D390" s="13">
        <f>ROUND(3785635,2)</f>
        <v>3785635</v>
      </c>
      <c r="E390" s="13">
        <f t="shared" si="54"/>
        <v>0</v>
      </c>
      <c r="F390" s="13">
        <f>ROUND(2000000,2)</f>
        <v>2000000</v>
      </c>
      <c r="G390" s="13">
        <f>ROUND(1785635,2)</f>
        <v>1785635</v>
      </c>
      <c r="H390" s="13">
        <f>ROUND(2212087.67,2)</f>
        <v>2212087.67</v>
      </c>
      <c r="I390" s="13">
        <f t="shared" si="53"/>
        <v>0</v>
      </c>
      <c r="J390" s="13">
        <f>ROUND(849385.74,2)</f>
        <v>849385.74</v>
      </c>
      <c r="K390" s="13">
        <f>ROUND(1362701.93,2)</f>
        <v>1362701.93</v>
      </c>
    </row>
    <row r="391" spans="1:11" ht="23.25">
      <c r="A391" s="11" t="s">
        <v>167</v>
      </c>
      <c r="B391" s="12" t="s">
        <v>873</v>
      </c>
      <c r="C391" s="12" t="s">
        <v>267</v>
      </c>
      <c r="D391" s="13">
        <f>ROUND(3785635,2)</f>
        <v>3785635</v>
      </c>
      <c r="E391" s="13">
        <f t="shared" si="54"/>
        <v>0</v>
      </c>
      <c r="F391" s="13">
        <f>ROUND(2000000,2)</f>
        <v>2000000</v>
      </c>
      <c r="G391" s="13">
        <f>ROUND(1785635,2)</f>
        <v>1785635</v>
      </c>
      <c r="H391" s="13">
        <f>ROUND(2212087.67,2)</f>
        <v>2212087.67</v>
      </c>
      <c r="I391" s="13">
        <f t="shared" si="53"/>
        <v>0</v>
      </c>
      <c r="J391" s="13">
        <f>ROUND(849385.74,2)</f>
        <v>849385.74</v>
      </c>
      <c r="K391" s="13">
        <f>ROUND(1362701.93,2)</f>
        <v>1362701.93</v>
      </c>
    </row>
    <row r="392" spans="1:11" ht="45.75">
      <c r="A392" s="11" t="s">
        <v>893</v>
      </c>
      <c r="B392" s="12" t="s">
        <v>1019</v>
      </c>
      <c r="C392" s="12" t="s">
        <v>112</v>
      </c>
      <c r="D392" s="13">
        <f>ROUND(5000,2)</f>
        <v>5000</v>
      </c>
      <c r="E392" s="13">
        <f t="shared" si="54"/>
        <v>0</v>
      </c>
      <c r="F392" s="13">
        <f>ROUND(0,2)</f>
        <v>0</v>
      </c>
      <c r="G392" s="13">
        <f>ROUND(5000,2)</f>
        <v>5000</v>
      </c>
      <c r="H392" s="13">
        <f>ROUND(0,2)</f>
        <v>0</v>
      </c>
      <c r="I392" s="13">
        <f t="shared" si="53"/>
        <v>0</v>
      </c>
      <c r="J392" s="13">
        <f>ROUND(0,2)</f>
        <v>0</v>
      </c>
      <c r="K392" s="13">
        <f>ROUND(0,2)</f>
        <v>0</v>
      </c>
    </row>
    <row r="393" spans="1:11" ht="68.25">
      <c r="A393" s="11" t="s">
        <v>397</v>
      </c>
      <c r="B393" s="12" t="s">
        <v>441</v>
      </c>
      <c r="C393" s="12" t="s">
        <v>184</v>
      </c>
      <c r="D393" s="13">
        <f>ROUND(3780635,2)</f>
        <v>3780635</v>
      </c>
      <c r="E393" s="13">
        <f t="shared" si="54"/>
        <v>0</v>
      </c>
      <c r="F393" s="13">
        <f>ROUND(2000000,2)</f>
        <v>2000000</v>
      </c>
      <c r="G393" s="13">
        <f>ROUND(1780635,2)</f>
        <v>1780635</v>
      </c>
      <c r="H393" s="13">
        <f>ROUND(2212087.67,2)</f>
        <v>2212087.67</v>
      </c>
      <c r="I393" s="13">
        <f t="shared" si="53"/>
        <v>0</v>
      </c>
      <c r="J393" s="13">
        <f>ROUND(849385.74,2)</f>
        <v>849385.74</v>
      </c>
      <c r="K393" s="13">
        <f>ROUND(1362701.93,2)</f>
        <v>1362701.93</v>
      </c>
    </row>
    <row r="394" spans="1:11" ht="34.5">
      <c r="A394" s="11" t="s">
        <v>156</v>
      </c>
      <c r="B394" s="12" t="s">
        <v>721</v>
      </c>
      <c r="C394" s="12" t="s">
        <v>355</v>
      </c>
      <c r="D394" s="13">
        <f>ROUND(4290175,2)</f>
        <v>4290175</v>
      </c>
      <c r="E394" s="13">
        <f t="shared" si="54"/>
        <v>0</v>
      </c>
      <c r="F394" s="13">
        <f>ROUND(4154175,2)</f>
        <v>4154175</v>
      </c>
      <c r="G394" s="13">
        <f>ROUND(136000,2)</f>
        <v>136000</v>
      </c>
      <c r="H394" s="13">
        <f>ROUND(1971000,2)</f>
        <v>1971000</v>
      </c>
      <c r="I394" s="13">
        <f t="shared" si="53"/>
        <v>0</v>
      </c>
      <c r="J394" s="13">
        <f>ROUND(1880000,2)</f>
        <v>1880000</v>
      </c>
      <c r="K394" s="13">
        <f>ROUND(91000,2)</f>
        <v>91000</v>
      </c>
    </row>
    <row r="395" spans="1:11" ht="23.25">
      <c r="A395" s="11" t="s">
        <v>782</v>
      </c>
      <c r="B395" s="12" t="s">
        <v>899</v>
      </c>
      <c r="C395" s="12" t="s">
        <v>99</v>
      </c>
      <c r="D395" s="13">
        <f>ROUND(4290175,2)</f>
        <v>4290175</v>
      </c>
      <c r="E395" s="13">
        <f t="shared" si="54"/>
        <v>0</v>
      </c>
      <c r="F395" s="13">
        <f>ROUND(4154175,2)</f>
        <v>4154175</v>
      </c>
      <c r="G395" s="13">
        <f>ROUND(136000,2)</f>
        <v>136000</v>
      </c>
      <c r="H395" s="13">
        <f>ROUND(1971000,2)</f>
        <v>1971000</v>
      </c>
      <c r="I395" s="13">
        <f t="shared" si="53"/>
        <v>0</v>
      </c>
      <c r="J395" s="13">
        <f>ROUND(1880000,2)</f>
        <v>1880000</v>
      </c>
      <c r="K395" s="13">
        <f>ROUND(91000,2)</f>
        <v>91000</v>
      </c>
    </row>
    <row r="396" spans="1:11" ht="23.25">
      <c r="A396" s="11" t="s">
        <v>233</v>
      </c>
      <c r="B396" s="12" t="s">
        <v>376</v>
      </c>
      <c r="C396" s="12" t="s">
        <v>267</v>
      </c>
      <c r="D396" s="13">
        <f>ROUND(4290175,2)</f>
        <v>4290175</v>
      </c>
      <c r="E396" s="13">
        <f t="shared" si="54"/>
        <v>0</v>
      </c>
      <c r="F396" s="13">
        <f>ROUND(4154175,2)</f>
        <v>4154175</v>
      </c>
      <c r="G396" s="13">
        <f>ROUND(136000,2)</f>
        <v>136000</v>
      </c>
      <c r="H396" s="13">
        <f>ROUND(1971000,2)</f>
        <v>1971000</v>
      </c>
      <c r="I396" s="13">
        <f t="shared" si="53"/>
        <v>0</v>
      </c>
      <c r="J396" s="13">
        <f>ROUND(1880000,2)</f>
        <v>1880000</v>
      </c>
      <c r="K396" s="13">
        <f>ROUND(91000,2)</f>
        <v>91000</v>
      </c>
    </row>
    <row r="397" spans="1:11" ht="45.75">
      <c r="A397" s="11" t="s">
        <v>299</v>
      </c>
      <c r="B397" s="12" t="s">
        <v>476</v>
      </c>
      <c r="C397" s="12" t="s">
        <v>112</v>
      </c>
      <c r="D397" s="13">
        <f>ROUND(4290175,2)</f>
        <v>4290175</v>
      </c>
      <c r="E397" s="13">
        <f t="shared" si="54"/>
        <v>0</v>
      </c>
      <c r="F397" s="13">
        <f>ROUND(4154175,2)</f>
        <v>4154175</v>
      </c>
      <c r="G397" s="13">
        <f>ROUND(136000,2)</f>
        <v>136000</v>
      </c>
      <c r="H397" s="13">
        <f>ROUND(1971000,2)</f>
        <v>1971000</v>
      </c>
      <c r="I397" s="13">
        <f t="shared" si="53"/>
        <v>0</v>
      </c>
      <c r="J397" s="13">
        <f>ROUND(1880000,2)</f>
        <v>1880000</v>
      </c>
      <c r="K397" s="13">
        <f>ROUND(91000,2)</f>
        <v>91000</v>
      </c>
    </row>
    <row r="398" spans="1:11" ht="23.25">
      <c r="A398" s="11" t="s">
        <v>586</v>
      </c>
      <c r="B398" s="12" t="s">
        <v>128</v>
      </c>
      <c r="C398" s="12" t="s">
        <v>553</v>
      </c>
      <c r="D398" s="13">
        <f>ROUND(14140240,2)</f>
        <v>14140240</v>
      </c>
      <c r="E398" s="13">
        <f t="shared" si="54"/>
        <v>0</v>
      </c>
      <c r="F398" s="13">
        <f>ROUND(14140240,2)</f>
        <v>14140240</v>
      </c>
      <c r="G398" s="13">
        <f aca="true" t="shared" si="55" ref="G398:G407">ROUND(0,2)</f>
        <v>0</v>
      </c>
      <c r="H398" s="13">
        <f>ROUND(2899884.98,2)</f>
        <v>2899884.98</v>
      </c>
      <c r="I398" s="13">
        <f t="shared" si="53"/>
        <v>0</v>
      </c>
      <c r="J398" s="13">
        <f>ROUND(2899884.98,2)</f>
        <v>2899884.98</v>
      </c>
      <c r="K398" s="13">
        <f aca="true" t="shared" si="56" ref="K398:K407">ROUND(0,2)</f>
        <v>0</v>
      </c>
    </row>
    <row r="399" spans="1:11" ht="23.25">
      <c r="A399" s="11" t="s">
        <v>201</v>
      </c>
      <c r="B399" s="12" t="s">
        <v>324</v>
      </c>
      <c r="C399" s="12" t="s">
        <v>99</v>
      </c>
      <c r="D399" s="13">
        <f>ROUND(14140240,2)</f>
        <v>14140240</v>
      </c>
      <c r="E399" s="13">
        <f t="shared" si="54"/>
        <v>0</v>
      </c>
      <c r="F399" s="13">
        <f>ROUND(14140240,2)</f>
        <v>14140240</v>
      </c>
      <c r="G399" s="13">
        <f t="shared" si="55"/>
        <v>0</v>
      </c>
      <c r="H399" s="13">
        <f>ROUND(2899884.98,2)</f>
        <v>2899884.98</v>
      </c>
      <c r="I399" s="13">
        <f t="shared" si="53"/>
        <v>0</v>
      </c>
      <c r="J399" s="13">
        <f>ROUND(2899884.98,2)</f>
        <v>2899884.98</v>
      </c>
      <c r="K399" s="13">
        <f t="shared" si="56"/>
        <v>0</v>
      </c>
    </row>
    <row r="400" spans="1:11" ht="23.25">
      <c r="A400" s="11" t="s">
        <v>764</v>
      </c>
      <c r="B400" s="12" t="s">
        <v>846</v>
      </c>
      <c r="C400" s="12" t="s">
        <v>238</v>
      </c>
      <c r="D400" s="13">
        <f>ROUND(1488000,2)</f>
        <v>1488000</v>
      </c>
      <c r="E400" s="13">
        <f t="shared" si="54"/>
        <v>0</v>
      </c>
      <c r="F400" s="13">
        <f>ROUND(1488000,2)</f>
        <v>1488000</v>
      </c>
      <c r="G400" s="13">
        <f t="shared" si="55"/>
        <v>0</v>
      </c>
      <c r="H400" s="13">
        <f>ROUND(384875.29,2)</f>
        <v>384875.29</v>
      </c>
      <c r="I400" s="13">
        <f t="shared" si="53"/>
        <v>0</v>
      </c>
      <c r="J400" s="13">
        <f>ROUND(384875.29,2)</f>
        <v>384875.29</v>
      </c>
      <c r="K400" s="13">
        <f t="shared" si="56"/>
        <v>0</v>
      </c>
    </row>
    <row r="401" spans="1:11" ht="23.25">
      <c r="A401" s="11" t="s">
        <v>928</v>
      </c>
      <c r="B401" s="12" t="s">
        <v>1010</v>
      </c>
      <c r="C401" s="12" t="s">
        <v>736</v>
      </c>
      <c r="D401" s="13">
        <f>ROUND(1488000,2)</f>
        <v>1488000</v>
      </c>
      <c r="E401" s="13">
        <f t="shared" si="54"/>
        <v>0</v>
      </c>
      <c r="F401" s="13">
        <f>ROUND(1488000,2)</f>
        <v>1488000</v>
      </c>
      <c r="G401" s="13">
        <f t="shared" si="55"/>
        <v>0</v>
      </c>
      <c r="H401" s="13">
        <f>ROUND(384875.29,2)</f>
        <v>384875.29</v>
      </c>
      <c r="I401" s="13">
        <f t="shared" si="53"/>
        <v>0</v>
      </c>
      <c r="J401" s="13">
        <f>ROUND(384875.29,2)</f>
        <v>384875.29</v>
      </c>
      <c r="K401" s="13">
        <f t="shared" si="56"/>
        <v>0</v>
      </c>
    </row>
    <row r="402" spans="1:11" ht="23.25">
      <c r="A402" s="11" t="s">
        <v>525</v>
      </c>
      <c r="B402" s="12" t="s">
        <v>834</v>
      </c>
      <c r="C402" s="12" t="s">
        <v>267</v>
      </c>
      <c r="D402" s="13">
        <f>ROUND(12652240,2)</f>
        <v>12652240</v>
      </c>
      <c r="E402" s="13">
        <f t="shared" si="54"/>
        <v>0</v>
      </c>
      <c r="F402" s="13">
        <f>ROUND(12652240,2)</f>
        <v>12652240</v>
      </c>
      <c r="G402" s="13">
        <f t="shared" si="55"/>
        <v>0</v>
      </c>
      <c r="H402" s="13">
        <f>ROUND(2515009.69,2)</f>
        <v>2515009.69</v>
      </c>
      <c r="I402" s="13">
        <f t="shared" si="53"/>
        <v>0</v>
      </c>
      <c r="J402" s="13">
        <f>ROUND(2515009.69,2)</f>
        <v>2515009.69</v>
      </c>
      <c r="K402" s="13">
        <f t="shared" si="56"/>
        <v>0</v>
      </c>
    </row>
    <row r="403" spans="1:11" ht="45.75">
      <c r="A403" s="11" t="s">
        <v>711</v>
      </c>
      <c r="B403" s="12" t="s">
        <v>935</v>
      </c>
      <c r="C403" s="12" t="s">
        <v>112</v>
      </c>
      <c r="D403" s="13">
        <f>ROUND(12652240,2)</f>
        <v>12652240</v>
      </c>
      <c r="E403" s="13">
        <f t="shared" si="54"/>
        <v>0</v>
      </c>
      <c r="F403" s="13">
        <f>ROUND(12652240,2)</f>
        <v>12652240</v>
      </c>
      <c r="G403" s="13">
        <f t="shared" si="55"/>
        <v>0</v>
      </c>
      <c r="H403" s="13">
        <f>ROUND(2515009.69,2)</f>
        <v>2515009.69</v>
      </c>
      <c r="I403" s="13">
        <f t="shared" si="53"/>
        <v>0</v>
      </c>
      <c r="J403" s="13">
        <f>ROUND(2515009.69,2)</f>
        <v>2515009.69</v>
      </c>
      <c r="K403" s="13">
        <f t="shared" si="56"/>
        <v>0</v>
      </c>
    </row>
    <row r="404" spans="1:11" ht="45.75">
      <c r="A404" s="11" t="s">
        <v>601</v>
      </c>
      <c r="B404" s="12" t="s">
        <v>702</v>
      </c>
      <c r="C404" s="12" t="s">
        <v>642</v>
      </c>
      <c r="D404" s="13">
        <f>ROUND(200000,2)</f>
        <v>200000</v>
      </c>
      <c r="E404" s="13">
        <f t="shared" si="54"/>
        <v>0</v>
      </c>
      <c r="F404" s="13">
        <f>ROUND(200000,2)</f>
        <v>200000</v>
      </c>
      <c r="G404" s="13">
        <f t="shared" si="55"/>
        <v>0</v>
      </c>
      <c r="H404" s="13">
        <f>ROUND(25000,2)</f>
        <v>25000</v>
      </c>
      <c r="I404" s="13">
        <f t="shared" si="53"/>
        <v>0</v>
      </c>
      <c r="J404" s="13">
        <f>ROUND(25000,2)</f>
        <v>25000</v>
      </c>
      <c r="K404" s="13">
        <f t="shared" si="56"/>
        <v>0</v>
      </c>
    </row>
    <row r="405" spans="1:11" ht="23.25">
      <c r="A405" s="11" t="s">
        <v>152</v>
      </c>
      <c r="B405" s="12" t="s">
        <v>802</v>
      </c>
      <c r="C405" s="12" t="s">
        <v>99</v>
      </c>
      <c r="D405" s="13">
        <f>ROUND(200000,2)</f>
        <v>200000</v>
      </c>
      <c r="E405" s="13">
        <f t="shared" si="54"/>
        <v>0</v>
      </c>
      <c r="F405" s="13">
        <f>ROUND(200000,2)</f>
        <v>200000</v>
      </c>
      <c r="G405" s="13">
        <f t="shared" si="55"/>
        <v>0</v>
      </c>
      <c r="H405" s="13">
        <f>ROUND(25000,2)</f>
        <v>25000</v>
      </c>
      <c r="I405" s="13">
        <f t="shared" si="53"/>
        <v>0</v>
      </c>
      <c r="J405" s="13">
        <f>ROUND(25000,2)</f>
        <v>25000</v>
      </c>
      <c r="K405" s="13">
        <f t="shared" si="56"/>
        <v>0</v>
      </c>
    </row>
    <row r="406" spans="1:11" ht="34.5">
      <c r="A406" s="11" t="s">
        <v>411</v>
      </c>
      <c r="B406" s="12" t="s">
        <v>821</v>
      </c>
      <c r="C406" s="12" t="s">
        <v>125</v>
      </c>
      <c r="D406" s="13">
        <f>ROUND(200000,2)</f>
        <v>200000</v>
      </c>
      <c r="E406" s="13">
        <f t="shared" si="54"/>
        <v>0</v>
      </c>
      <c r="F406" s="13">
        <f>ROUND(200000,2)</f>
        <v>200000</v>
      </c>
      <c r="G406" s="13">
        <f t="shared" si="55"/>
        <v>0</v>
      </c>
      <c r="H406" s="13">
        <f>ROUND(25000,2)</f>
        <v>25000</v>
      </c>
      <c r="I406" s="13">
        <f aca="true" t="shared" si="57" ref="I406:I422">ROUND(0,2)</f>
        <v>0</v>
      </c>
      <c r="J406" s="13">
        <f>ROUND(25000,2)</f>
        <v>25000</v>
      </c>
      <c r="K406" s="13">
        <f t="shared" si="56"/>
        <v>0</v>
      </c>
    </row>
    <row r="407" spans="1:11" ht="79.5">
      <c r="A407" s="11" t="s">
        <v>405</v>
      </c>
      <c r="B407" s="12" t="s">
        <v>957</v>
      </c>
      <c r="C407" s="12" t="s">
        <v>309</v>
      </c>
      <c r="D407" s="13">
        <f>ROUND(200000,2)</f>
        <v>200000</v>
      </c>
      <c r="E407" s="13">
        <f t="shared" si="54"/>
        <v>0</v>
      </c>
      <c r="F407" s="13">
        <f>ROUND(200000,2)</f>
        <v>200000</v>
      </c>
      <c r="G407" s="13">
        <f t="shared" si="55"/>
        <v>0</v>
      </c>
      <c r="H407" s="13">
        <f>ROUND(25000,2)</f>
        <v>25000</v>
      </c>
      <c r="I407" s="13">
        <f t="shared" si="57"/>
        <v>0</v>
      </c>
      <c r="J407" s="13">
        <f>ROUND(25000,2)</f>
        <v>25000</v>
      </c>
      <c r="K407" s="13">
        <f t="shared" si="56"/>
        <v>0</v>
      </c>
    </row>
    <row r="408" spans="1:11" ht="23.25">
      <c r="A408" s="11" t="s">
        <v>321</v>
      </c>
      <c r="B408" s="12" t="s">
        <v>749</v>
      </c>
      <c r="C408" s="12" t="s">
        <v>739</v>
      </c>
      <c r="D408" s="13">
        <f>ROUND(352000,2)</f>
        <v>352000</v>
      </c>
      <c r="E408" s="13">
        <f t="shared" si="54"/>
        <v>0</v>
      </c>
      <c r="F408" s="13">
        <f>ROUND(223000,2)</f>
        <v>223000</v>
      </c>
      <c r="G408" s="13">
        <f>ROUND(129000,2)</f>
        <v>129000</v>
      </c>
      <c r="H408" s="13">
        <f>ROUND(128419.4,2)</f>
        <v>128419.4</v>
      </c>
      <c r="I408" s="13">
        <f t="shared" si="57"/>
        <v>0</v>
      </c>
      <c r="J408" s="13">
        <f>ROUND(122710,2)</f>
        <v>122710</v>
      </c>
      <c r="K408" s="13">
        <f>ROUND(5709.4,2)</f>
        <v>5709.4</v>
      </c>
    </row>
    <row r="409" spans="1:11" ht="23.25">
      <c r="A409" s="11" t="s">
        <v>1007</v>
      </c>
      <c r="B409" s="12" t="s">
        <v>872</v>
      </c>
      <c r="C409" s="12" t="s">
        <v>99</v>
      </c>
      <c r="D409" s="13">
        <f>ROUND(252000,2)</f>
        <v>252000</v>
      </c>
      <c r="E409" s="13">
        <f t="shared" si="54"/>
        <v>0</v>
      </c>
      <c r="F409" s="13">
        <f>ROUND(123000,2)</f>
        <v>123000</v>
      </c>
      <c r="G409" s="13">
        <f>ROUND(129000,2)</f>
        <v>129000</v>
      </c>
      <c r="H409" s="13">
        <f>ROUND(128419.4,2)</f>
        <v>128419.4</v>
      </c>
      <c r="I409" s="13">
        <f t="shared" si="57"/>
        <v>0</v>
      </c>
      <c r="J409" s="13">
        <f>ROUND(122710,2)</f>
        <v>122710</v>
      </c>
      <c r="K409" s="13">
        <f>ROUND(5709.4,2)</f>
        <v>5709.4</v>
      </c>
    </row>
    <row r="410" spans="1:11" ht="23.25">
      <c r="A410" s="11" t="s">
        <v>486</v>
      </c>
      <c r="B410" s="12" t="s">
        <v>356</v>
      </c>
      <c r="C410" s="12" t="s">
        <v>238</v>
      </c>
      <c r="D410" s="13">
        <f>ROUND(232000,2)</f>
        <v>232000</v>
      </c>
      <c r="E410" s="13">
        <f t="shared" si="54"/>
        <v>0</v>
      </c>
      <c r="F410" s="13">
        <f>ROUND(123000,2)</f>
        <v>123000</v>
      </c>
      <c r="G410" s="13">
        <f>ROUND(109000,2)</f>
        <v>109000</v>
      </c>
      <c r="H410" s="13">
        <f>ROUND(128419.4,2)</f>
        <v>128419.4</v>
      </c>
      <c r="I410" s="13">
        <f t="shared" si="57"/>
        <v>0</v>
      </c>
      <c r="J410" s="13">
        <f>ROUND(122710,2)</f>
        <v>122710</v>
      </c>
      <c r="K410" s="13">
        <f>ROUND(5709.4,2)</f>
        <v>5709.4</v>
      </c>
    </row>
    <row r="411" spans="1:11" ht="23.25">
      <c r="A411" s="11" t="s">
        <v>912</v>
      </c>
      <c r="B411" s="12" t="s">
        <v>395</v>
      </c>
      <c r="C411" s="12" t="s">
        <v>736</v>
      </c>
      <c r="D411" s="13">
        <f>ROUND(232000,2)</f>
        <v>232000</v>
      </c>
      <c r="E411" s="13">
        <f t="shared" si="54"/>
        <v>0</v>
      </c>
      <c r="F411" s="13">
        <f>ROUND(123000,2)</f>
        <v>123000</v>
      </c>
      <c r="G411" s="13">
        <f>ROUND(109000,2)</f>
        <v>109000</v>
      </c>
      <c r="H411" s="13">
        <f>ROUND(128419.4,2)</f>
        <v>128419.4</v>
      </c>
      <c r="I411" s="13">
        <f t="shared" si="57"/>
        <v>0</v>
      </c>
      <c r="J411" s="13">
        <f>ROUND(122710,2)</f>
        <v>122710</v>
      </c>
      <c r="K411" s="13">
        <f>ROUND(5709.4,2)</f>
        <v>5709.4</v>
      </c>
    </row>
    <row r="412" spans="1:11" ht="23.25">
      <c r="A412" s="11" t="s">
        <v>614</v>
      </c>
      <c r="B412" s="12" t="s">
        <v>643</v>
      </c>
      <c r="C412" s="12" t="s">
        <v>961</v>
      </c>
      <c r="D412" s="13">
        <f>ROUND(20000,2)</f>
        <v>20000</v>
      </c>
      <c r="E412" s="13">
        <f t="shared" si="54"/>
        <v>0</v>
      </c>
      <c r="F412" s="13">
        <f>ROUND(0,2)</f>
        <v>0</v>
      </c>
      <c r="G412" s="13">
        <f>ROUND(20000,2)</f>
        <v>20000</v>
      </c>
      <c r="H412" s="13">
        <f>ROUND(0,2)</f>
        <v>0</v>
      </c>
      <c r="I412" s="13">
        <f t="shared" si="57"/>
        <v>0</v>
      </c>
      <c r="J412" s="13">
        <f aca="true" t="shared" si="58" ref="J412:K414">ROUND(0,2)</f>
        <v>0</v>
      </c>
      <c r="K412" s="13">
        <f t="shared" si="58"/>
        <v>0</v>
      </c>
    </row>
    <row r="413" spans="1:11" ht="34.5">
      <c r="A413" s="11" t="s">
        <v>15</v>
      </c>
      <c r="B413" s="12" t="s">
        <v>921</v>
      </c>
      <c r="C413" s="12" t="s">
        <v>795</v>
      </c>
      <c r="D413" s="13">
        <f>ROUND(100000,2)</f>
        <v>100000</v>
      </c>
      <c r="E413" s="13">
        <f t="shared" si="54"/>
        <v>0</v>
      </c>
      <c r="F413" s="13">
        <f>ROUND(100000,2)</f>
        <v>100000</v>
      </c>
      <c r="G413" s="13">
        <f>ROUND(0,2)</f>
        <v>0</v>
      </c>
      <c r="H413" s="13">
        <f>ROUND(0,2)</f>
        <v>0</v>
      </c>
      <c r="I413" s="13">
        <f t="shared" si="57"/>
        <v>0</v>
      </c>
      <c r="J413" s="13">
        <f t="shared" si="58"/>
        <v>0</v>
      </c>
      <c r="K413" s="13">
        <f t="shared" si="58"/>
        <v>0</v>
      </c>
    </row>
    <row r="414" spans="1:11" ht="34.5">
      <c r="A414" s="11" t="s">
        <v>942</v>
      </c>
      <c r="B414" s="12" t="s">
        <v>649</v>
      </c>
      <c r="C414" s="12" t="s">
        <v>953</v>
      </c>
      <c r="D414" s="13">
        <f>ROUND(100000,2)</f>
        <v>100000</v>
      </c>
      <c r="E414" s="13">
        <f aca="true" t="shared" si="59" ref="E414:E422">ROUND(0,2)</f>
        <v>0</v>
      </c>
      <c r="F414" s="13">
        <f>ROUND(100000,2)</f>
        <v>100000</v>
      </c>
      <c r="G414" s="13">
        <f>ROUND(0,2)</f>
        <v>0</v>
      </c>
      <c r="H414" s="13">
        <f>ROUND(0,2)</f>
        <v>0</v>
      </c>
      <c r="I414" s="13">
        <f t="shared" si="57"/>
        <v>0</v>
      </c>
      <c r="J414" s="13">
        <f t="shared" si="58"/>
        <v>0</v>
      </c>
      <c r="K414" s="13">
        <f t="shared" si="58"/>
        <v>0</v>
      </c>
    </row>
    <row r="415" spans="1:11" ht="23.25">
      <c r="A415" s="11" t="s">
        <v>865</v>
      </c>
      <c r="B415" s="12" t="s">
        <v>1030</v>
      </c>
      <c r="C415" s="12" t="s">
        <v>712</v>
      </c>
      <c r="D415" s="13">
        <f>ROUND(252000,2)</f>
        <v>252000</v>
      </c>
      <c r="E415" s="13">
        <f t="shared" si="59"/>
        <v>0</v>
      </c>
      <c r="F415" s="13">
        <f>ROUND(123000,2)</f>
        <v>123000</v>
      </c>
      <c r="G415" s="13">
        <f>ROUND(129000,2)</f>
        <v>129000</v>
      </c>
      <c r="H415" s="13">
        <f>ROUND(128419.4,2)</f>
        <v>128419.4</v>
      </c>
      <c r="I415" s="13">
        <f t="shared" si="57"/>
        <v>0</v>
      </c>
      <c r="J415" s="13">
        <f>ROUND(122710,2)</f>
        <v>122710</v>
      </c>
      <c r="K415" s="13">
        <f>ROUND(5709.4,2)</f>
        <v>5709.4</v>
      </c>
    </row>
    <row r="416" spans="1:11" ht="23.25">
      <c r="A416" s="11" t="s">
        <v>284</v>
      </c>
      <c r="B416" s="12" t="s">
        <v>592</v>
      </c>
      <c r="C416" s="12" t="s">
        <v>99</v>
      </c>
      <c r="D416" s="13">
        <f>ROUND(252000,2)</f>
        <v>252000</v>
      </c>
      <c r="E416" s="13">
        <f t="shared" si="59"/>
        <v>0</v>
      </c>
      <c r="F416" s="13">
        <f>ROUND(123000,2)</f>
        <v>123000</v>
      </c>
      <c r="G416" s="13">
        <f>ROUND(129000,2)</f>
        <v>129000</v>
      </c>
      <c r="H416" s="13">
        <f>ROUND(128419.4,2)</f>
        <v>128419.4</v>
      </c>
      <c r="I416" s="13">
        <f t="shared" si="57"/>
        <v>0</v>
      </c>
      <c r="J416" s="13">
        <f>ROUND(122710,2)</f>
        <v>122710</v>
      </c>
      <c r="K416" s="13">
        <f>ROUND(5709.4,2)</f>
        <v>5709.4</v>
      </c>
    </row>
    <row r="417" spans="1:11" ht="23.25">
      <c r="A417" s="11" t="s">
        <v>44</v>
      </c>
      <c r="B417" s="12" t="s">
        <v>62</v>
      </c>
      <c r="C417" s="12" t="s">
        <v>238</v>
      </c>
      <c r="D417" s="13">
        <f>ROUND(232000,2)</f>
        <v>232000</v>
      </c>
      <c r="E417" s="13">
        <f t="shared" si="59"/>
        <v>0</v>
      </c>
      <c r="F417" s="13">
        <f>ROUND(123000,2)</f>
        <v>123000</v>
      </c>
      <c r="G417" s="13">
        <f>ROUND(109000,2)</f>
        <v>109000</v>
      </c>
      <c r="H417" s="13">
        <f>ROUND(128419.4,2)</f>
        <v>128419.4</v>
      </c>
      <c r="I417" s="13">
        <f t="shared" si="57"/>
        <v>0</v>
      </c>
      <c r="J417" s="13">
        <f>ROUND(122710,2)</f>
        <v>122710</v>
      </c>
      <c r="K417" s="13">
        <f>ROUND(5709.4,2)</f>
        <v>5709.4</v>
      </c>
    </row>
    <row r="418" spans="1:11" ht="23.25">
      <c r="A418" s="11" t="s">
        <v>71</v>
      </c>
      <c r="B418" s="12" t="s">
        <v>149</v>
      </c>
      <c r="C418" s="12" t="s">
        <v>736</v>
      </c>
      <c r="D418" s="13">
        <f>ROUND(232000,2)</f>
        <v>232000</v>
      </c>
      <c r="E418" s="13">
        <f t="shared" si="59"/>
        <v>0</v>
      </c>
      <c r="F418" s="13">
        <f>ROUND(123000,2)</f>
        <v>123000</v>
      </c>
      <c r="G418" s="13">
        <f>ROUND(109000,2)</f>
        <v>109000</v>
      </c>
      <c r="H418" s="13">
        <f>ROUND(128419.4,2)</f>
        <v>128419.4</v>
      </c>
      <c r="I418" s="13">
        <f t="shared" si="57"/>
        <v>0</v>
      </c>
      <c r="J418" s="13">
        <f>ROUND(122710,2)</f>
        <v>122710</v>
      </c>
      <c r="K418" s="13">
        <f>ROUND(5709.4,2)</f>
        <v>5709.4</v>
      </c>
    </row>
    <row r="419" spans="1:11" ht="23.25">
      <c r="A419" s="11" t="s">
        <v>103</v>
      </c>
      <c r="B419" s="12" t="s">
        <v>883</v>
      </c>
      <c r="C419" s="12" t="s">
        <v>961</v>
      </c>
      <c r="D419" s="13">
        <f>ROUND(20000,2)</f>
        <v>20000</v>
      </c>
      <c r="E419" s="13">
        <f t="shared" si="59"/>
        <v>0</v>
      </c>
      <c r="F419" s="13">
        <f>ROUND(0,2)</f>
        <v>0</v>
      </c>
      <c r="G419" s="13">
        <f>ROUND(20000,2)</f>
        <v>20000</v>
      </c>
      <c r="H419" s="13">
        <f aca="true" t="shared" si="60" ref="H419:H434">ROUND(0,2)</f>
        <v>0</v>
      </c>
      <c r="I419" s="13">
        <f t="shared" si="57"/>
        <v>0</v>
      </c>
      <c r="J419" s="13">
        <f aca="true" t="shared" si="61" ref="J419:K422">ROUND(0,2)</f>
        <v>0</v>
      </c>
      <c r="K419" s="13">
        <f t="shared" si="61"/>
        <v>0</v>
      </c>
    </row>
    <row r="420" spans="1:11" ht="45.75">
      <c r="A420" s="11" t="s">
        <v>247</v>
      </c>
      <c r="B420" s="12" t="s">
        <v>672</v>
      </c>
      <c r="C420" s="12" t="s">
        <v>697</v>
      </c>
      <c r="D420" s="13">
        <f>ROUND(100000,2)</f>
        <v>100000</v>
      </c>
      <c r="E420" s="13">
        <f t="shared" si="59"/>
        <v>0</v>
      </c>
      <c r="F420" s="13">
        <f>ROUND(100000,2)</f>
        <v>100000</v>
      </c>
      <c r="G420" s="13">
        <f aca="true" t="shared" si="62" ref="G420:G434">ROUND(0,2)</f>
        <v>0</v>
      </c>
      <c r="H420" s="13">
        <f t="shared" si="60"/>
        <v>0</v>
      </c>
      <c r="I420" s="13">
        <f t="shared" si="57"/>
        <v>0</v>
      </c>
      <c r="J420" s="13">
        <f t="shared" si="61"/>
        <v>0</v>
      </c>
      <c r="K420" s="13">
        <f t="shared" si="61"/>
        <v>0</v>
      </c>
    </row>
    <row r="421" spans="1:11" ht="34.5">
      <c r="A421" s="11" t="s">
        <v>573</v>
      </c>
      <c r="B421" s="12" t="s">
        <v>1029</v>
      </c>
      <c r="C421" s="12" t="s">
        <v>795</v>
      </c>
      <c r="D421" s="13">
        <f>ROUND(100000,2)</f>
        <v>100000</v>
      </c>
      <c r="E421" s="13">
        <f t="shared" si="59"/>
        <v>0</v>
      </c>
      <c r="F421" s="13">
        <f>ROUND(100000,2)</f>
        <v>100000</v>
      </c>
      <c r="G421" s="13">
        <f t="shared" si="62"/>
        <v>0</v>
      </c>
      <c r="H421" s="13">
        <f t="shared" si="60"/>
        <v>0</v>
      </c>
      <c r="I421" s="13">
        <f t="shared" si="57"/>
        <v>0</v>
      </c>
      <c r="J421" s="13">
        <f t="shared" si="61"/>
        <v>0</v>
      </c>
      <c r="K421" s="13">
        <f t="shared" si="61"/>
        <v>0</v>
      </c>
    </row>
    <row r="422" spans="1:11" ht="34.5">
      <c r="A422" s="11" t="s">
        <v>108</v>
      </c>
      <c r="B422" s="12" t="s">
        <v>779</v>
      </c>
      <c r="C422" s="12" t="s">
        <v>953</v>
      </c>
      <c r="D422" s="13">
        <f>ROUND(100000,2)</f>
        <v>100000</v>
      </c>
      <c r="E422" s="13">
        <f t="shared" si="59"/>
        <v>0</v>
      </c>
      <c r="F422" s="13">
        <f>ROUND(100000,2)</f>
        <v>100000</v>
      </c>
      <c r="G422" s="13">
        <f t="shared" si="62"/>
        <v>0</v>
      </c>
      <c r="H422" s="13">
        <f t="shared" si="60"/>
        <v>0</v>
      </c>
      <c r="I422" s="13">
        <f t="shared" si="57"/>
        <v>0</v>
      </c>
      <c r="J422" s="13">
        <f t="shared" si="61"/>
        <v>0</v>
      </c>
      <c r="K422" s="13">
        <f t="shared" si="61"/>
        <v>0</v>
      </c>
    </row>
    <row r="423" spans="1:11" ht="90.75">
      <c r="A423" s="11" t="s">
        <v>830</v>
      </c>
      <c r="B423" s="12" t="s">
        <v>483</v>
      </c>
      <c r="C423" s="12" t="s">
        <v>540</v>
      </c>
      <c r="D423" s="13">
        <f aca="true" t="shared" si="63" ref="D423:D434">ROUND(0,2)</f>
        <v>0</v>
      </c>
      <c r="E423" s="13">
        <f aca="true" t="shared" si="64" ref="E423:F426">ROUND(21897900,2)</f>
        <v>21897900</v>
      </c>
      <c r="F423" s="13">
        <f t="shared" si="64"/>
        <v>21897900</v>
      </c>
      <c r="G423" s="13">
        <f t="shared" si="62"/>
        <v>0</v>
      </c>
      <c r="H423" s="13">
        <f t="shared" si="60"/>
        <v>0</v>
      </c>
      <c r="I423" s="13">
        <f aca="true" t="shared" si="65" ref="I423:J426">ROUND(3672600,2)</f>
        <v>3672600</v>
      </c>
      <c r="J423" s="13">
        <f t="shared" si="65"/>
        <v>3672600</v>
      </c>
      <c r="K423" s="13">
        <f aca="true" t="shared" si="66" ref="K423:K434">ROUND(0,2)</f>
        <v>0</v>
      </c>
    </row>
    <row r="424" spans="1:11" ht="23.25">
      <c r="A424" s="11" t="s">
        <v>458</v>
      </c>
      <c r="B424" s="12" t="s">
        <v>87</v>
      </c>
      <c r="C424" s="12" t="s">
        <v>99</v>
      </c>
      <c r="D424" s="13">
        <f t="shared" si="63"/>
        <v>0</v>
      </c>
      <c r="E424" s="13">
        <f t="shared" si="64"/>
        <v>21897900</v>
      </c>
      <c r="F424" s="13">
        <f t="shared" si="64"/>
        <v>21897900</v>
      </c>
      <c r="G424" s="13">
        <f t="shared" si="62"/>
        <v>0</v>
      </c>
      <c r="H424" s="13">
        <f t="shared" si="60"/>
        <v>0</v>
      </c>
      <c r="I424" s="13">
        <f t="shared" si="65"/>
        <v>3672600</v>
      </c>
      <c r="J424" s="13">
        <f t="shared" si="65"/>
        <v>3672600</v>
      </c>
      <c r="K424" s="13">
        <f t="shared" si="66"/>
        <v>0</v>
      </c>
    </row>
    <row r="425" spans="1:11" ht="34.5">
      <c r="A425" s="11" t="s">
        <v>123</v>
      </c>
      <c r="B425" s="12" t="s">
        <v>350</v>
      </c>
      <c r="C425" s="12" t="s">
        <v>215</v>
      </c>
      <c r="D425" s="13">
        <f t="shared" si="63"/>
        <v>0</v>
      </c>
      <c r="E425" s="13">
        <f t="shared" si="64"/>
        <v>21897900</v>
      </c>
      <c r="F425" s="13">
        <f t="shared" si="64"/>
        <v>21897900</v>
      </c>
      <c r="G425" s="13">
        <f t="shared" si="62"/>
        <v>0</v>
      </c>
      <c r="H425" s="13">
        <f t="shared" si="60"/>
        <v>0</v>
      </c>
      <c r="I425" s="13">
        <f t="shared" si="65"/>
        <v>3672600</v>
      </c>
      <c r="J425" s="13">
        <f t="shared" si="65"/>
        <v>3672600</v>
      </c>
      <c r="K425" s="13">
        <f t="shared" si="66"/>
        <v>0</v>
      </c>
    </row>
    <row r="426" spans="1:11" ht="68.25">
      <c r="A426" s="11" t="s">
        <v>561</v>
      </c>
      <c r="B426" s="12" t="s">
        <v>812</v>
      </c>
      <c r="C426" s="12" t="s">
        <v>1033</v>
      </c>
      <c r="D426" s="13">
        <f t="shared" si="63"/>
        <v>0</v>
      </c>
      <c r="E426" s="13">
        <f t="shared" si="64"/>
        <v>21897900</v>
      </c>
      <c r="F426" s="13">
        <f t="shared" si="64"/>
        <v>21897900</v>
      </c>
      <c r="G426" s="13">
        <f t="shared" si="62"/>
        <v>0</v>
      </c>
      <c r="H426" s="13">
        <f t="shared" si="60"/>
        <v>0</v>
      </c>
      <c r="I426" s="13">
        <f t="shared" si="65"/>
        <v>3672600</v>
      </c>
      <c r="J426" s="13">
        <f t="shared" si="65"/>
        <v>3672600</v>
      </c>
      <c r="K426" s="13">
        <f t="shared" si="66"/>
        <v>0</v>
      </c>
    </row>
    <row r="427" spans="1:11" ht="102">
      <c r="A427" s="11" t="s">
        <v>433</v>
      </c>
      <c r="B427" s="12" t="s">
        <v>251</v>
      </c>
      <c r="C427" s="12" t="s">
        <v>611</v>
      </c>
      <c r="D427" s="13">
        <f t="shared" si="63"/>
        <v>0</v>
      </c>
      <c r="E427" s="13">
        <f aca="true" t="shared" si="67" ref="E427:F430">ROUND(10884900,2)</f>
        <v>10884900</v>
      </c>
      <c r="F427" s="13">
        <f t="shared" si="67"/>
        <v>10884900</v>
      </c>
      <c r="G427" s="13">
        <f t="shared" si="62"/>
        <v>0</v>
      </c>
      <c r="H427" s="13">
        <f t="shared" si="60"/>
        <v>0</v>
      </c>
      <c r="I427" s="13">
        <f aca="true" t="shared" si="68" ref="I427:J430">ROUND(3114600,2)</f>
        <v>3114600</v>
      </c>
      <c r="J427" s="13">
        <f t="shared" si="68"/>
        <v>3114600</v>
      </c>
      <c r="K427" s="13">
        <f t="shared" si="66"/>
        <v>0</v>
      </c>
    </row>
    <row r="428" spans="1:11" ht="23.25">
      <c r="A428" s="11" t="s">
        <v>1025</v>
      </c>
      <c r="B428" s="12" t="s">
        <v>328</v>
      </c>
      <c r="C428" s="12" t="s">
        <v>99</v>
      </c>
      <c r="D428" s="13">
        <f t="shared" si="63"/>
        <v>0</v>
      </c>
      <c r="E428" s="13">
        <f t="shared" si="67"/>
        <v>10884900</v>
      </c>
      <c r="F428" s="13">
        <f t="shared" si="67"/>
        <v>10884900</v>
      </c>
      <c r="G428" s="13">
        <f t="shared" si="62"/>
        <v>0</v>
      </c>
      <c r="H428" s="13">
        <f t="shared" si="60"/>
        <v>0</v>
      </c>
      <c r="I428" s="13">
        <f t="shared" si="68"/>
        <v>3114600</v>
      </c>
      <c r="J428" s="13">
        <f t="shared" si="68"/>
        <v>3114600</v>
      </c>
      <c r="K428" s="13">
        <f t="shared" si="66"/>
        <v>0</v>
      </c>
    </row>
    <row r="429" spans="1:11" ht="34.5">
      <c r="A429" s="11" t="s">
        <v>365</v>
      </c>
      <c r="B429" s="12" t="s">
        <v>82</v>
      </c>
      <c r="C429" s="12" t="s">
        <v>215</v>
      </c>
      <c r="D429" s="13">
        <f t="shared" si="63"/>
        <v>0</v>
      </c>
      <c r="E429" s="13">
        <f t="shared" si="67"/>
        <v>10884900</v>
      </c>
      <c r="F429" s="13">
        <f t="shared" si="67"/>
        <v>10884900</v>
      </c>
      <c r="G429" s="13">
        <f t="shared" si="62"/>
        <v>0</v>
      </c>
      <c r="H429" s="13">
        <f t="shared" si="60"/>
        <v>0</v>
      </c>
      <c r="I429" s="13">
        <f t="shared" si="68"/>
        <v>3114600</v>
      </c>
      <c r="J429" s="13">
        <f t="shared" si="68"/>
        <v>3114600</v>
      </c>
      <c r="K429" s="13">
        <f t="shared" si="66"/>
        <v>0</v>
      </c>
    </row>
    <row r="430" spans="1:11" ht="68.25">
      <c r="A430" s="11" t="s">
        <v>966</v>
      </c>
      <c r="B430" s="12" t="s">
        <v>531</v>
      </c>
      <c r="C430" s="12" t="s">
        <v>1033</v>
      </c>
      <c r="D430" s="13">
        <f t="shared" si="63"/>
        <v>0</v>
      </c>
      <c r="E430" s="13">
        <f t="shared" si="67"/>
        <v>10884900</v>
      </c>
      <c r="F430" s="13">
        <f t="shared" si="67"/>
        <v>10884900</v>
      </c>
      <c r="G430" s="13">
        <f t="shared" si="62"/>
        <v>0</v>
      </c>
      <c r="H430" s="13">
        <f t="shared" si="60"/>
        <v>0</v>
      </c>
      <c r="I430" s="13">
        <f t="shared" si="68"/>
        <v>3114600</v>
      </c>
      <c r="J430" s="13">
        <f t="shared" si="68"/>
        <v>3114600</v>
      </c>
      <c r="K430" s="13">
        <f t="shared" si="66"/>
        <v>0</v>
      </c>
    </row>
    <row r="431" spans="1:11" ht="23.25">
      <c r="A431" s="11" t="s">
        <v>849</v>
      </c>
      <c r="B431" s="12" t="s">
        <v>992</v>
      </c>
      <c r="C431" s="12" t="s">
        <v>369</v>
      </c>
      <c r="D431" s="13">
        <f t="shared" si="63"/>
        <v>0</v>
      </c>
      <c r="E431" s="13">
        <f aca="true" t="shared" si="69" ref="E431:F434">ROUND(11013000,2)</f>
        <v>11013000</v>
      </c>
      <c r="F431" s="13">
        <f t="shared" si="69"/>
        <v>11013000</v>
      </c>
      <c r="G431" s="13">
        <f t="shared" si="62"/>
        <v>0</v>
      </c>
      <c r="H431" s="13">
        <f t="shared" si="60"/>
        <v>0</v>
      </c>
      <c r="I431" s="13">
        <f aca="true" t="shared" si="70" ref="I431:J434">ROUND(558000,2)</f>
        <v>558000</v>
      </c>
      <c r="J431" s="13">
        <f t="shared" si="70"/>
        <v>558000</v>
      </c>
      <c r="K431" s="13">
        <f t="shared" si="66"/>
        <v>0</v>
      </c>
    </row>
    <row r="432" spans="1:11" ht="23.25">
      <c r="A432" s="11" t="s">
        <v>481</v>
      </c>
      <c r="B432" s="12" t="s">
        <v>627</v>
      </c>
      <c r="C432" s="12" t="s">
        <v>99</v>
      </c>
      <c r="D432" s="13">
        <f t="shared" si="63"/>
        <v>0</v>
      </c>
      <c r="E432" s="13">
        <f t="shared" si="69"/>
        <v>11013000</v>
      </c>
      <c r="F432" s="13">
        <f t="shared" si="69"/>
        <v>11013000</v>
      </c>
      <c r="G432" s="13">
        <f t="shared" si="62"/>
        <v>0</v>
      </c>
      <c r="H432" s="13">
        <f t="shared" si="60"/>
        <v>0</v>
      </c>
      <c r="I432" s="13">
        <f t="shared" si="70"/>
        <v>558000</v>
      </c>
      <c r="J432" s="13">
        <f t="shared" si="70"/>
        <v>558000</v>
      </c>
      <c r="K432" s="13">
        <f t="shared" si="66"/>
        <v>0</v>
      </c>
    </row>
    <row r="433" spans="1:11" ht="34.5">
      <c r="A433" s="11" t="s">
        <v>869</v>
      </c>
      <c r="B433" s="12" t="s">
        <v>917</v>
      </c>
      <c r="C433" s="12" t="s">
        <v>215</v>
      </c>
      <c r="D433" s="13">
        <f t="shared" si="63"/>
        <v>0</v>
      </c>
      <c r="E433" s="13">
        <f t="shared" si="69"/>
        <v>11013000</v>
      </c>
      <c r="F433" s="13">
        <f t="shared" si="69"/>
        <v>11013000</v>
      </c>
      <c r="G433" s="13">
        <f t="shared" si="62"/>
        <v>0</v>
      </c>
      <c r="H433" s="13">
        <f t="shared" si="60"/>
        <v>0</v>
      </c>
      <c r="I433" s="13">
        <f t="shared" si="70"/>
        <v>558000</v>
      </c>
      <c r="J433" s="13">
        <f t="shared" si="70"/>
        <v>558000</v>
      </c>
      <c r="K433" s="13">
        <f t="shared" si="66"/>
        <v>0</v>
      </c>
    </row>
    <row r="434" spans="1:11" ht="68.25">
      <c r="A434" s="11" t="s">
        <v>275</v>
      </c>
      <c r="B434" s="12" t="s">
        <v>297</v>
      </c>
      <c r="C434" s="12" t="s">
        <v>1033</v>
      </c>
      <c r="D434" s="13">
        <f t="shared" si="63"/>
        <v>0</v>
      </c>
      <c r="E434" s="13">
        <f t="shared" si="69"/>
        <v>11013000</v>
      </c>
      <c r="F434" s="13">
        <f t="shared" si="69"/>
        <v>11013000</v>
      </c>
      <c r="G434" s="13">
        <f t="shared" si="62"/>
        <v>0</v>
      </c>
      <c r="H434" s="13">
        <f t="shared" si="60"/>
        <v>0</v>
      </c>
      <c r="I434" s="13">
        <f t="shared" si="70"/>
        <v>558000</v>
      </c>
      <c r="J434" s="13">
        <f t="shared" si="70"/>
        <v>558000</v>
      </c>
      <c r="K434" s="13">
        <f t="shared" si="66"/>
        <v>0</v>
      </c>
    </row>
    <row r="435" spans="1:11" ht="57">
      <c r="A435" s="11" t="s">
        <v>598</v>
      </c>
      <c r="B435" s="12" t="s">
        <v>796</v>
      </c>
      <c r="C435" s="12" t="s">
        <v>225</v>
      </c>
      <c r="D435" s="13">
        <f>ROUND(-12323145.42,2)</f>
        <v>-12323145.42</v>
      </c>
      <c r="E435" s="13">
        <f aca="true" t="shared" si="71" ref="E435:E467">ROUND(0,2)</f>
        <v>0</v>
      </c>
      <c r="F435" s="13">
        <f>ROUND(-10825145.42,2)</f>
        <v>-10825145.42</v>
      </c>
      <c r="G435" s="13">
        <f>ROUND(-1498000,2)</f>
        <v>-1498000</v>
      </c>
      <c r="H435" s="13">
        <f>ROUND(986213.67,2)</f>
        <v>986213.67</v>
      </c>
      <c r="I435" s="13">
        <f aca="true" t="shared" si="72" ref="I435:I467">ROUND(0,2)</f>
        <v>0</v>
      </c>
      <c r="J435" s="13">
        <f>ROUND(-726562.77,2)</f>
        <v>-726562.77</v>
      </c>
      <c r="K435" s="13">
        <f>ROUND(1712776.44,2)</f>
        <v>1712776.44</v>
      </c>
    </row>
    <row r="436" spans="1:11" ht="34.5">
      <c r="A436" s="11" t="s">
        <v>719</v>
      </c>
      <c r="B436" s="12" t="s">
        <v>34</v>
      </c>
      <c r="C436" s="12" t="s">
        <v>39</v>
      </c>
      <c r="D436" s="13">
        <f>ROUND(22221941.82,2)</f>
        <v>22221941.82</v>
      </c>
      <c r="E436" s="13">
        <f t="shared" si="71"/>
        <v>0</v>
      </c>
      <c r="F436" s="13">
        <f>ROUND(11567282.71,2)</f>
        <v>11567282.71</v>
      </c>
      <c r="G436" s="13">
        <f>ROUND(10654659.11,2)</f>
        <v>10654659.11</v>
      </c>
      <c r="H436" s="13">
        <f>ROUND(22221941.82,2)</f>
        <v>22221941.82</v>
      </c>
      <c r="I436" s="13">
        <f t="shared" si="72"/>
        <v>0</v>
      </c>
      <c r="J436" s="13">
        <f>ROUND(11567282.71,2)</f>
        <v>11567282.71</v>
      </c>
      <c r="K436" s="13">
        <f>ROUND(10654659.11,2)</f>
        <v>10654659.11</v>
      </c>
    </row>
    <row r="437" spans="1:11" ht="45.75">
      <c r="A437" s="11" t="s">
        <v>40</v>
      </c>
      <c r="B437" s="12" t="s">
        <v>713</v>
      </c>
      <c r="C437" s="12" t="s">
        <v>850</v>
      </c>
      <c r="D437" s="13">
        <f>ROUND(593985.23,2)</f>
        <v>593985.23</v>
      </c>
      <c r="E437" s="13">
        <f t="shared" si="71"/>
        <v>0</v>
      </c>
      <c r="F437" s="13">
        <f>ROUND(0,2)</f>
        <v>0</v>
      </c>
      <c r="G437" s="13">
        <f>ROUND(593985.23,2)</f>
        <v>593985.23</v>
      </c>
      <c r="H437" s="13">
        <f>ROUND(593985.23,2)</f>
        <v>593985.23</v>
      </c>
      <c r="I437" s="13">
        <f t="shared" si="72"/>
        <v>0</v>
      </c>
      <c r="J437" s="13">
        <f>ROUND(0,2)</f>
        <v>0</v>
      </c>
      <c r="K437" s="13">
        <f>ROUND(593985.23,2)</f>
        <v>593985.23</v>
      </c>
    </row>
    <row r="438" spans="1:11" ht="12.75">
      <c r="A438" s="11" t="s">
        <v>637</v>
      </c>
      <c r="B438" s="12" t="s">
        <v>145</v>
      </c>
      <c r="C438" s="12" t="s">
        <v>983</v>
      </c>
      <c r="D438" s="13">
        <f>ROUND(21627956.59,2)</f>
        <v>21627956.59</v>
      </c>
      <c r="E438" s="13">
        <f t="shared" si="71"/>
        <v>0</v>
      </c>
      <c r="F438" s="13">
        <f>ROUND(11567282.71,2)</f>
        <v>11567282.71</v>
      </c>
      <c r="G438" s="13">
        <f>ROUND(10060673.88,2)</f>
        <v>10060673.88</v>
      </c>
      <c r="H438" s="13">
        <f>ROUND(21627956.59,2)</f>
        <v>21627956.59</v>
      </c>
      <c r="I438" s="13">
        <f t="shared" si="72"/>
        <v>0</v>
      </c>
      <c r="J438" s="13">
        <f>ROUND(11567282.71,2)</f>
        <v>11567282.71</v>
      </c>
      <c r="K438" s="13">
        <f>ROUND(10060673.88,2)</f>
        <v>10060673.88</v>
      </c>
    </row>
    <row r="439" spans="1:11" ht="34.5">
      <c r="A439" s="11" t="s">
        <v>254</v>
      </c>
      <c r="B439" s="12" t="s">
        <v>541</v>
      </c>
      <c r="C439" s="12" t="s">
        <v>666</v>
      </c>
      <c r="D439" s="13">
        <f>ROUND(9898796.4,2)</f>
        <v>9898796.4</v>
      </c>
      <c r="E439" s="13">
        <f t="shared" si="71"/>
        <v>0</v>
      </c>
      <c r="F439" s="13">
        <f>ROUND(742137.29,2)</f>
        <v>742137.29</v>
      </c>
      <c r="G439" s="13">
        <f>ROUND(9156659.11,2)</f>
        <v>9156659.11</v>
      </c>
      <c r="H439" s="13">
        <f>ROUND(25815505.49,2)</f>
        <v>25815505.49</v>
      </c>
      <c r="I439" s="13">
        <f t="shared" si="72"/>
        <v>0</v>
      </c>
      <c r="J439" s="13">
        <f>ROUND(12817969.94,2)</f>
        <v>12817969.94</v>
      </c>
      <c r="K439" s="13">
        <f>ROUND(12997535.55,2)</f>
        <v>12997535.55</v>
      </c>
    </row>
    <row r="440" spans="1:11" ht="45.75">
      <c r="A440" s="11" t="s">
        <v>676</v>
      </c>
      <c r="B440" s="12" t="s">
        <v>68</v>
      </c>
      <c r="C440" s="12" t="s">
        <v>850</v>
      </c>
      <c r="D440" s="13">
        <f>ROUND(1019195.03,2)</f>
        <v>1019195.03</v>
      </c>
      <c r="E440" s="13">
        <f t="shared" si="71"/>
        <v>0</v>
      </c>
      <c r="F440" s="13">
        <f>ROUND(0,2)</f>
        <v>0</v>
      </c>
      <c r="G440" s="13">
        <f>ROUND(1019195.03,2)</f>
        <v>1019195.03</v>
      </c>
      <c r="H440" s="13">
        <f>ROUND(4410839.59,2)</f>
        <v>4410839.59</v>
      </c>
      <c r="I440" s="13">
        <f t="shared" si="72"/>
        <v>0</v>
      </c>
      <c r="J440" s="13">
        <f>ROUND(1853680.62,2)</f>
        <v>1853680.62</v>
      </c>
      <c r="K440" s="13">
        <f>ROUND(2557158.97,2)</f>
        <v>2557158.97</v>
      </c>
    </row>
    <row r="441" spans="1:11" ht="12.75">
      <c r="A441" s="11" t="s">
        <v>65</v>
      </c>
      <c r="B441" s="12" t="s">
        <v>680</v>
      </c>
      <c r="C441" s="12" t="s">
        <v>983</v>
      </c>
      <c r="D441" s="13">
        <f>ROUND(8879601.37,2)</f>
        <v>8879601.37</v>
      </c>
      <c r="E441" s="13">
        <f t="shared" si="71"/>
        <v>0</v>
      </c>
      <c r="F441" s="13">
        <f>ROUND(742137.29,2)</f>
        <v>742137.29</v>
      </c>
      <c r="G441" s="13">
        <f>ROUND(8137464.08,2)</f>
        <v>8137464.08</v>
      </c>
      <c r="H441" s="13">
        <f>ROUND(21404665.9,2)</f>
        <v>21404665.9</v>
      </c>
      <c r="I441" s="13">
        <f t="shared" si="72"/>
        <v>0</v>
      </c>
      <c r="J441" s="13">
        <f>ROUND(10964289.32,2)</f>
        <v>10964289.32</v>
      </c>
      <c r="K441" s="13">
        <f>ROUND(10440376.58,2)</f>
        <v>10440376.58</v>
      </c>
    </row>
    <row r="442" spans="1:11" ht="34.5">
      <c r="A442" s="11" t="s">
        <v>535</v>
      </c>
      <c r="B442" s="12" t="s">
        <v>778</v>
      </c>
      <c r="C442" s="12" t="s">
        <v>924</v>
      </c>
      <c r="D442" s="13">
        <f>ROUND(29573213,2)</f>
        <v>29573213</v>
      </c>
      <c r="E442" s="13">
        <f t="shared" si="71"/>
        <v>0</v>
      </c>
      <c r="F442" s="13">
        <f>ROUND(10805900,2)</f>
        <v>10805900</v>
      </c>
      <c r="G442" s="13">
        <f>ROUND(18767313,2)</f>
        <v>18767313</v>
      </c>
      <c r="H442" s="13">
        <f>ROUND(2550641.54,2)</f>
        <v>2550641.54</v>
      </c>
      <c r="I442" s="13">
        <f t="shared" si="72"/>
        <v>0</v>
      </c>
      <c r="J442" s="13">
        <f>ROUND(451852.82,2)</f>
        <v>451852.82</v>
      </c>
      <c r="K442" s="13">
        <f>ROUND(2098788.72,2)</f>
        <v>2098788.72</v>
      </c>
    </row>
    <row r="443" spans="1:11" ht="23.25">
      <c r="A443" s="11" t="s">
        <v>85</v>
      </c>
      <c r="B443" s="12" t="s">
        <v>706</v>
      </c>
      <c r="C443" s="12" t="s">
        <v>629</v>
      </c>
      <c r="D443" s="13">
        <f>ROUND(10000,2)</f>
        <v>10000</v>
      </c>
      <c r="E443" s="13">
        <f t="shared" si="71"/>
        <v>0</v>
      </c>
      <c r="F443" s="13">
        <f>ROUND(0,2)</f>
        <v>0</v>
      </c>
      <c r="G443" s="13">
        <f>ROUND(10000,2)</f>
        <v>10000</v>
      </c>
      <c r="H443" s="13">
        <f>ROUND(0,2)</f>
        <v>0</v>
      </c>
      <c r="I443" s="13">
        <f t="shared" si="72"/>
        <v>0</v>
      </c>
      <c r="J443" s="13">
        <f>ROUND(0,2)</f>
        <v>0</v>
      </c>
      <c r="K443" s="13">
        <f>ROUND(0,2)</f>
        <v>0</v>
      </c>
    </row>
    <row r="444" spans="1:11" ht="34.5">
      <c r="A444" s="11" t="s">
        <v>533</v>
      </c>
      <c r="B444" s="12" t="s">
        <v>223</v>
      </c>
      <c r="C444" s="12" t="s">
        <v>214</v>
      </c>
      <c r="D444" s="13">
        <f>ROUND(15881893,2)</f>
        <v>15881893</v>
      </c>
      <c r="E444" s="13">
        <f t="shared" si="71"/>
        <v>0</v>
      </c>
      <c r="F444" s="13">
        <f>ROUND(10547600,2)</f>
        <v>10547600</v>
      </c>
      <c r="G444" s="13">
        <f>ROUND(5334293,2)</f>
        <v>5334293</v>
      </c>
      <c r="H444" s="13">
        <f>ROUND(1137725.26,2)</f>
        <v>1137725.26</v>
      </c>
      <c r="I444" s="13">
        <f t="shared" si="72"/>
        <v>0</v>
      </c>
      <c r="J444" s="13">
        <f>ROUND(341370.4,2)</f>
        <v>341370.4</v>
      </c>
      <c r="K444" s="13">
        <f>ROUND(796354.86,2)</f>
        <v>796354.86</v>
      </c>
    </row>
    <row r="445" spans="1:11" ht="57">
      <c r="A445" s="11" t="s">
        <v>1036</v>
      </c>
      <c r="B445" s="12" t="s">
        <v>904</v>
      </c>
      <c r="C445" s="12" t="s">
        <v>937</v>
      </c>
      <c r="D445" s="13">
        <f>ROUND(3202616,2)</f>
        <v>3202616</v>
      </c>
      <c r="E445" s="13">
        <f t="shared" si="71"/>
        <v>0</v>
      </c>
      <c r="F445" s="13">
        <f>ROUND(218300,2)</f>
        <v>218300</v>
      </c>
      <c r="G445" s="13">
        <f>ROUND(2984316,2)</f>
        <v>2984316</v>
      </c>
      <c r="H445" s="13">
        <f>ROUND(855470.22,2)</f>
        <v>855470.22</v>
      </c>
      <c r="I445" s="13">
        <f t="shared" si="72"/>
        <v>0</v>
      </c>
      <c r="J445" s="13">
        <f>ROUND(86597.42,2)</f>
        <v>86597.42</v>
      </c>
      <c r="K445" s="13">
        <f>ROUND(768872.8,2)</f>
        <v>768872.8</v>
      </c>
    </row>
    <row r="446" spans="1:11" ht="12.75">
      <c r="A446" s="11" t="s">
        <v>425</v>
      </c>
      <c r="B446" s="12" t="s">
        <v>313</v>
      </c>
      <c r="C446" s="12" t="s">
        <v>978</v>
      </c>
      <c r="D446" s="13">
        <f>ROUND(10478704,2)</f>
        <v>10478704</v>
      </c>
      <c r="E446" s="13">
        <f t="shared" si="71"/>
        <v>0</v>
      </c>
      <c r="F446" s="13">
        <f>ROUND(40000,2)</f>
        <v>40000</v>
      </c>
      <c r="G446" s="13">
        <f>ROUND(10438704,2)</f>
        <v>10438704</v>
      </c>
      <c r="H446" s="13">
        <f>ROUND(557446.06,2)</f>
        <v>557446.06</v>
      </c>
      <c r="I446" s="13">
        <f t="shared" si="72"/>
        <v>0</v>
      </c>
      <c r="J446" s="13">
        <f>ROUND(23885,2)</f>
        <v>23885</v>
      </c>
      <c r="K446" s="13">
        <f>ROUND(533561.06,2)</f>
        <v>533561.06</v>
      </c>
    </row>
    <row r="447" spans="1:11" ht="23.25">
      <c r="A447" s="11" t="s">
        <v>864</v>
      </c>
      <c r="B447" s="12" t="s">
        <v>1022</v>
      </c>
      <c r="C447" s="12" t="s">
        <v>961</v>
      </c>
      <c r="D447" s="13">
        <f>ROUND(2795136.07,2)</f>
        <v>2795136.07</v>
      </c>
      <c r="E447" s="13">
        <f t="shared" si="71"/>
        <v>0</v>
      </c>
      <c r="F447" s="13">
        <f>ROUND(916033.07,2)</f>
        <v>916033.07</v>
      </c>
      <c r="G447" s="13">
        <f>ROUND(1879103,2)</f>
        <v>1879103</v>
      </c>
      <c r="H447" s="13">
        <f>ROUND(1132333.17,2)</f>
        <v>1132333.17</v>
      </c>
      <c r="I447" s="13">
        <f t="shared" si="72"/>
        <v>0</v>
      </c>
      <c r="J447" s="13">
        <f>ROUND(295541.44,2)</f>
        <v>295541.44</v>
      </c>
      <c r="K447" s="13">
        <f>ROUND(836791.73,2)</f>
        <v>836791.73</v>
      </c>
    </row>
    <row r="448" spans="1:11" ht="45.75">
      <c r="A448" s="11" t="s">
        <v>283</v>
      </c>
      <c r="B448" s="12" t="s">
        <v>417</v>
      </c>
      <c r="C448" s="12" t="s">
        <v>203</v>
      </c>
      <c r="D448" s="13">
        <f>ROUND(233105,2)</f>
        <v>233105</v>
      </c>
      <c r="E448" s="13">
        <f t="shared" si="71"/>
        <v>0</v>
      </c>
      <c r="F448" s="13">
        <f>ROUND(15000,2)</f>
        <v>15000</v>
      </c>
      <c r="G448" s="13">
        <f>ROUND(218105,2)</f>
        <v>218105</v>
      </c>
      <c r="H448" s="13">
        <f>ROUND(136252.78,2)</f>
        <v>136252.78</v>
      </c>
      <c r="I448" s="13">
        <f t="shared" si="72"/>
        <v>0</v>
      </c>
      <c r="J448" s="13">
        <f>ROUND(0,2)</f>
        <v>0</v>
      </c>
      <c r="K448" s="13">
        <f>ROUND(136252.78,2)</f>
        <v>136252.78</v>
      </c>
    </row>
    <row r="449" spans="1:11" ht="57">
      <c r="A449" s="11" t="s">
        <v>941</v>
      </c>
      <c r="B449" s="12" t="s">
        <v>807</v>
      </c>
      <c r="C449" s="12" t="s">
        <v>79</v>
      </c>
      <c r="D449" s="13">
        <f>ROUND(273477.07,2)</f>
        <v>273477.07</v>
      </c>
      <c r="E449" s="13">
        <f t="shared" si="71"/>
        <v>0</v>
      </c>
      <c r="F449" s="13">
        <f>ROUND(153333.07,2)</f>
        <v>153333.07</v>
      </c>
      <c r="G449" s="13">
        <f>ROUND(120144,2)</f>
        <v>120144</v>
      </c>
      <c r="H449" s="13">
        <f>ROUND(76192.06,2)</f>
        <v>76192.06</v>
      </c>
      <c r="I449" s="13">
        <f t="shared" si="72"/>
        <v>0</v>
      </c>
      <c r="J449" s="13">
        <f>ROUND(0,2)</f>
        <v>0</v>
      </c>
      <c r="K449" s="13">
        <f>ROUND(76192.06,2)</f>
        <v>76192.06</v>
      </c>
    </row>
    <row r="450" spans="1:11" ht="12.75">
      <c r="A450" s="11" t="s">
        <v>452</v>
      </c>
      <c r="B450" s="12" t="s">
        <v>342</v>
      </c>
      <c r="C450" s="12" t="s">
        <v>978</v>
      </c>
      <c r="D450" s="13">
        <f>ROUND(2288554,2)</f>
        <v>2288554</v>
      </c>
      <c r="E450" s="13">
        <f t="shared" si="71"/>
        <v>0</v>
      </c>
      <c r="F450" s="13">
        <f>ROUND(747700,2)</f>
        <v>747700</v>
      </c>
      <c r="G450" s="13">
        <f>ROUND(1540854,2)</f>
        <v>1540854</v>
      </c>
      <c r="H450" s="13">
        <f>ROUND(919888.33,2)</f>
        <v>919888.33</v>
      </c>
      <c r="I450" s="13">
        <f t="shared" si="72"/>
        <v>0</v>
      </c>
      <c r="J450" s="13">
        <f>ROUND(295541.44,2)</f>
        <v>295541.44</v>
      </c>
      <c r="K450" s="13">
        <f>ROUND(624346.89,2)</f>
        <v>624346.89</v>
      </c>
    </row>
    <row r="451" spans="1:11" ht="34.5">
      <c r="A451" s="11" t="s">
        <v>841</v>
      </c>
      <c r="B451" s="12" t="s">
        <v>806</v>
      </c>
      <c r="C451" s="12" t="s">
        <v>953</v>
      </c>
      <c r="D451" s="13">
        <f>ROUND(417426333.73,2)</f>
        <v>417426333.73</v>
      </c>
      <c r="E451" s="13">
        <f t="shared" si="71"/>
        <v>0</v>
      </c>
      <c r="F451" s="13">
        <f>ROUND(391918587.73,2)</f>
        <v>391918587.73</v>
      </c>
      <c r="G451" s="13">
        <f>ROUND(25507746,2)</f>
        <v>25507746</v>
      </c>
      <c r="H451" s="13">
        <f>ROUND(11312471.65,2)</f>
        <v>11312471.65</v>
      </c>
      <c r="I451" s="13">
        <f t="shared" si="72"/>
        <v>0</v>
      </c>
      <c r="J451" s="13">
        <f>ROUND(10232154.66,2)</f>
        <v>10232154.66</v>
      </c>
      <c r="K451" s="13">
        <f>ROUND(1080316.99,2)</f>
        <v>1080316.99</v>
      </c>
    </row>
    <row r="452" spans="1:11" ht="23.25">
      <c r="A452" s="11" t="s">
        <v>384</v>
      </c>
      <c r="B452" s="12" t="s">
        <v>498</v>
      </c>
      <c r="C452" s="12" t="s">
        <v>903</v>
      </c>
      <c r="D452" s="13">
        <f>ROUND(407008378,2)</f>
        <v>407008378</v>
      </c>
      <c r="E452" s="13">
        <f t="shared" si="71"/>
        <v>0</v>
      </c>
      <c r="F452" s="13">
        <f>ROUND(387262178,2)</f>
        <v>387262178</v>
      </c>
      <c r="G452" s="13">
        <f>ROUND(19746200,2)</f>
        <v>19746200</v>
      </c>
      <c r="H452" s="13">
        <f>ROUND(9270383.9,2)</f>
        <v>9270383.9</v>
      </c>
      <c r="I452" s="13">
        <f t="shared" si="72"/>
        <v>0</v>
      </c>
      <c r="J452" s="13">
        <f>ROUND(9270383.9,2)</f>
        <v>9270383.9</v>
      </c>
      <c r="K452" s="13">
        <f>ROUND(0,2)</f>
        <v>0</v>
      </c>
    </row>
    <row r="453" spans="1:11" ht="34.5">
      <c r="A453" s="11" t="s">
        <v>848</v>
      </c>
      <c r="B453" s="12" t="s">
        <v>971</v>
      </c>
      <c r="C453" s="12" t="s">
        <v>566</v>
      </c>
      <c r="D453" s="13">
        <f>ROUND(10137899.73,2)</f>
        <v>10137899.73</v>
      </c>
      <c r="E453" s="13">
        <f t="shared" si="71"/>
        <v>0</v>
      </c>
      <c r="F453" s="13">
        <f>ROUND(4656409.73,2)</f>
        <v>4656409.73</v>
      </c>
      <c r="G453" s="13">
        <f>ROUND(5481490,2)</f>
        <v>5481490</v>
      </c>
      <c r="H453" s="13">
        <f>ROUND(2002318.88,2)</f>
        <v>2002318.88</v>
      </c>
      <c r="I453" s="13">
        <f t="shared" si="72"/>
        <v>0</v>
      </c>
      <c r="J453" s="13">
        <f>ROUND(961770.76,2)</f>
        <v>961770.76</v>
      </c>
      <c r="K453" s="13">
        <f>ROUND(1040548.12,2)</f>
        <v>1040548.12</v>
      </c>
    </row>
    <row r="454" spans="1:11" ht="12.75">
      <c r="A454" s="11" t="s">
        <v>381</v>
      </c>
      <c r="B454" s="12" t="s">
        <v>487</v>
      </c>
      <c r="C454" s="12" t="s">
        <v>978</v>
      </c>
      <c r="D454" s="13">
        <f>ROUND(280056,2)</f>
        <v>280056</v>
      </c>
      <c r="E454" s="13">
        <f t="shared" si="71"/>
        <v>0</v>
      </c>
      <c r="F454" s="13">
        <f>ROUND(0,2)</f>
        <v>0</v>
      </c>
      <c r="G454" s="13">
        <f>ROUND(280056,2)</f>
        <v>280056</v>
      </c>
      <c r="H454" s="13">
        <f>ROUND(39768.87,2)</f>
        <v>39768.87</v>
      </c>
      <c r="I454" s="13">
        <f t="shared" si="72"/>
        <v>0</v>
      </c>
      <c r="J454" s="13">
        <f>ROUND(0,2)</f>
        <v>0</v>
      </c>
      <c r="K454" s="13">
        <f>ROUND(39768.87,2)</f>
        <v>39768.87</v>
      </c>
    </row>
    <row r="455" spans="1:11" ht="45.75">
      <c r="A455" s="11" t="s">
        <v>239</v>
      </c>
      <c r="B455" s="12" t="s">
        <v>515</v>
      </c>
      <c r="C455" s="12" t="s">
        <v>745</v>
      </c>
      <c r="D455" s="13">
        <f>ROUND(36546345.68,2)</f>
        <v>36546345.68</v>
      </c>
      <c r="E455" s="13">
        <f t="shared" si="71"/>
        <v>0</v>
      </c>
      <c r="F455" s="13">
        <f>ROUND(25257017.68,2)</f>
        <v>25257017.68</v>
      </c>
      <c r="G455" s="13">
        <f>ROUND(11289328,2)</f>
        <v>11289328</v>
      </c>
      <c r="H455" s="13">
        <f>ROUND(8090749.96,2)</f>
        <v>8090749.96</v>
      </c>
      <c r="I455" s="13">
        <f t="shared" si="72"/>
        <v>0</v>
      </c>
      <c r="J455" s="13">
        <f>ROUND(5441727.8,2)</f>
        <v>5441727.8</v>
      </c>
      <c r="K455" s="13">
        <f>ROUND(2649022.16,2)</f>
        <v>2649022.16</v>
      </c>
    </row>
    <row r="456" spans="1:11" ht="23.25">
      <c r="A456" s="11" t="s">
        <v>688</v>
      </c>
      <c r="B456" s="12" t="s">
        <v>558</v>
      </c>
      <c r="C456" s="12" t="s">
        <v>151</v>
      </c>
      <c r="D456" s="13">
        <f>ROUND(14581949,2)</f>
        <v>14581949</v>
      </c>
      <c r="E456" s="13">
        <f t="shared" si="71"/>
        <v>0</v>
      </c>
      <c r="F456" s="13">
        <f>ROUND(11720619,2)</f>
        <v>11720619</v>
      </c>
      <c r="G456" s="13">
        <f>ROUND(2861330,2)</f>
        <v>2861330</v>
      </c>
      <c r="H456" s="13">
        <f>ROUND(3505126.19,2)</f>
        <v>3505126.19</v>
      </c>
      <c r="I456" s="13">
        <f t="shared" si="72"/>
        <v>0</v>
      </c>
      <c r="J456" s="13">
        <f>ROUND(2901482.1,2)</f>
        <v>2901482.1</v>
      </c>
      <c r="K456" s="13">
        <f>ROUND(603644.09,2)</f>
        <v>603644.09</v>
      </c>
    </row>
    <row r="457" spans="1:11" ht="23.25">
      <c r="A457" s="11" t="s">
        <v>550</v>
      </c>
      <c r="B457" s="12" t="s">
        <v>663</v>
      </c>
      <c r="C457" s="12" t="s">
        <v>628</v>
      </c>
      <c r="D457" s="13">
        <f>ROUND(2804399,2)</f>
        <v>2804399</v>
      </c>
      <c r="E457" s="13">
        <f t="shared" si="71"/>
        <v>0</v>
      </c>
      <c r="F457" s="13">
        <f>ROUND(1670000,2)</f>
        <v>1670000</v>
      </c>
      <c r="G457" s="13">
        <f>ROUND(1134399,2)</f>
        <v>1134399</v>
      </c>
      <c r="H457" s="13">
        <f>ROUND(375250,2)</f>
        <v>375250</v>
      </c>
      <c r="I457" s="13">
        <f t="shared" si="72"/>
        <v>0</v>
      </c>
      <c r="J457" s="13">
        <f>ROUND(0,2)</f>
        <v>0</v>
      </c>
      <c r="K457" s="13">
        <f>ROUND(375250,2)</f>
        <v>375250</v>
      </c>
    </row>
    <row r="458" spans="1:11" ht="23.25">
      <c r="A458" s="11" t="s">
        <v>140</v>
      </c>
      <c r="B458" s="12" t="s">
        <v>28</v>
      </c>
      <c r="C458" s="12" t="s">
        <v>193</v>
      </c>
      <c r="D458" s="13">
        <f>ROUND(7006310.42,2)</f>
        <v>7006310.42</v>
      </c>
      <c r="E458" s="13">
        <f t="shared" si="71"/>
        <v>0</v>
      </c>
      <c r="F458" s="13">
        <f>ROUND(4793037.42,2)</f>
        <v>4793037.42</v>
      </c>
      <c r="G458" s="13">
        <f>ROUND(2213273,2)</f>
        <v>2213273</v>
      </c>
      <c r="H458" s="13">
        <f>ROUND(2111504.79,2)</f>
        <v>2111504.79</v>
      </c>
      <c r="I458" s="13">
        <f t="shared" si="72"/>
        <v>0</v>
      </c>
      <c r="J458" s="13">
        <f>ROUND(1552622.02,2)</f>
        <v>1552622.02</v>
      </c>
      <c r="K458" s="13">
        <f>ROUND(558882.77,2)</f>
        <v>558882.77</v>
      </c>
    </row>
    <row r="459" spans="1:11" ht="12.75">
      <c r="A459" s="11" t="s">
        <v>726</v>
      </c>
      <c r="B459" s="12" t="s">
        <v>596</v>
      </c>
      <c r="C459" s="12" t="s">
        <v>155</v>
      </c>
      <c r="D459" s="13">
        <f>ROUND(67000,2)</f>
        <v>67000</v>
      </c>
      <c r="E459" s="13">
        <f t="shared" si="71"/>
        <v>0</v>
      </c>
      <c r="F459" s="13">
        <f>ROUND(67000,2)</f>
        <v>67000</v>
      </c>
      <c r="G459" s="13">
        <f>ROUND(0,2)</f>
        <v>0</v>
      </c>
      <c r="H459" s="13">
        <f>ROUND(65875.84,2)</f>
        <v>65875.84</v>
      </c>
      <c r="I459" s="13">
        <f t="shared" si="72"/>
        <v>0</v>
      </c>
      <c r="J459" s="13">
        <f>ROUND(65875.84,2)</f>
        <v>65875.84</v>
      </c>
      <c r="K459" s="13">
        <f>ROUND(0,2)</f>
        <v>0</v>
      </c>
    </row>
    <row r="460" spans="1:11" ht="45.75">
      <c r="A460" s="11" t="s">
        <v>32</v>
      </c>
      <c r="B460" s="12" t="s">
        <v>168</v>
      </c>
      <c r="C460" s="12" t="s">
        <v>931</v>
      </c>
      <c r="D460" s="13">
        <f>ROUND(9607869.26,2)</f>
        <v>9607869.26</v>
      </c>
      <c r="E460" s="13">
        <f t="shared" si="71"/>
        <v>0</v>
      </c>
      <c r="F460" s="13">
        <f>ROUND(6031861.26,2)</f>
        <v>6031861.26</v>
      </c>
      <c r="G460" s="13">
        <f>ROUND(3576008,2)</f>
        <v>3576008</v>
      </c>
      <c r="H460" s="13">
        <f>ROUND(1131764.67,2)</f>
        <v>1131764.67</v>
      </c>
      <c r="I460" s="13">
        <f t="shared" si="72"/>
        <v>0</v>
      </c>
      <c r="J460" s="13">
        <f>ROUND(529363.01,2)</f>
        <v>529363.01</v>
      </c>
      <c r="K460" s="13">
        <f>ROUND(602401.66,2)</f>
        <v>602401.66</v>
      </c>
    </row>
    <row r="461" spans="1:11" ht="12.75">
      <c r="A461" s="11" t="s">
        <v>645</v>
      </c>
      <c r="B461" s="12" t="s">
        <v>771</v>
      </c>
      <c r="C461" s="12" t="s">
        <v>978</v>
      </c>
      <c r="D461" s="13">
        <f>ROUND(2478818,2)</f>
        <v>2478818</v>
      </c>
      <c r="E461" s="13">
        <f t="shared" si="71"/>
        <v>0</v>
      </c>
      <c r="F461" s="13">
        <f>ROUND(974500,2)</f>
        <v>974500</v>
      </c>
      <c r="G461" s="13">
        <f>ROUND(1504318,2)</f>
        <v>1504318</v>
      </c>
      <c r="H461" s="13">
        <f>ROUND(901228.47,2)</f>
        <v>901228.47</v>
      </c>
      <c r="I461" s="13">
        <f t="shared" si="72"/>
        <v>0</v>
      </c>
      <c r="J461" s="13">
        <f>ROUND(392384.83,2)</f>
        <v>392384.83</v>
      </c>
      <c r="K461" s="13">
        <f>ROUND(508843.64,2)</f>
        <v>508843.64</v>
      </c>
    </row>
    <row r="462" spans="1:11" ht="23.25">
      <c r="A462" s="11" t="s">
        <v>48</v>
      </c>
      <c r="B462" s="12" t="s">
        <v>173</v>
      </c>
      <c r="C462" s="12" t="s">
        <v>1003</v>
      </c>
      <c r="D462" s="13">
        <f>ROUND(417156277.73,2)</f>
        <v>417156277.73</v>
      </c>
      <c r="E462" s="13">
        <f t="shared" si="71"/>
        <v>0</v>
      </c>
      <c r="F462" s="13">
        <f>ROUND(391918587.73,2)</f>
        <v>391918587.73</v>
      </c>
      <c r="G462" s="13">
        <f>ROUND(25237690,2)</f>
        <v>25237690</v>
      </c>
      <c r="H462" s="13">
        <f>ROUND(11272702.78,2)</f>
        <v>11272702.78</v>
      </c>
      <c r="I462" s="13">
        <f t="shared" si="72"/>
        <v>0</v>
      </c>
      <c r="J462" s="13">
        <f>ROUND(10232154.66,2)</f>
        <v>10232154.66</v>
      </c>
      <c r="K462" s="13">
        <f>ROUND(1040548.12,2)</f>
        <v>1040548.12</v>
      </c>
    </row>
    <row r="463" spans="1:11" ht="34.5">
      <c r="A463" s="11" t="s">
        <v>621</v>
      </c>
      <c r="B463" s="12" t="s">
        <v>757</v>
      </c>
      <c r="C463" s="12" t="s">
        <v>138</v>
      </c>
      <c r="D463" s="13">
        <f>ROUND(408367520,2)</f>
        <v>408367520</v>
      </c>
      <c r="E463" s="13">
        <f t="shared" si="71"/>
        <v>0</v>
      </c>
      <c r="F463" s="13">
        <f>ROUND(388259500,2)</f>
        <v>388259500</v>
      </c>
      <c r="G463" s="13">
        <f>ROUND(20108020,2)</f>
        <v>20108020</v>
      </c>
      <c r="H463" s="13">
        <f>ROUND(7400009,2)</f>
        <v>7400009</v>
      </c>
      <c r="I463" s="13">
        <f t="shared" si="72"/>
        <v>0</v>
      </c>
      <c r="J463" s="13">
        <f>ROUND(7206899,2)</f>
        <v>7206899</v>
      </c>
      <c r="K463" s="13">
        <f>ROUND(193110,2)</f>
        <v>193110</v>
      </c>
    </row>
    <row r="464" spans="1:11" ht="34.5">
      <c r="A464" s="11" t="s">
        <v>496</v>
      </c>
      <c r="B464" s="12" t="s">
        <v>388</v>
      </c>
      <c r="C464" s="12" t="s">
        <v>22</v>
      </c>
      <c r="D464" s="13">
        <f>ROUND(8788757.73,2)</f>
        <v>8788757.73</v>
      </c>
      <c r="E464" s="13">
        <f t="shared" si="71"/>
        <v>0</v>
      </c>
      <c r="F464" s="13">
        <f>ROUND(3659087.73,2)</f>
        <v>3659087.73</v>
      </c>
      <c r="G464" s="13">
        <f>ROUND(5129670,2)</f>
        <v>5129670</v>
      </c>
      <c r="H464" s="13">
        <f>ROUND(3872693.78,2)</f>
        <v>3872693.78</v>
      </c>
      <c r="I464" s="13">
        <f t="shared" si="72"/>
        <v>0</v>
      </c>
      <c r="J464" s="13">
        <f>ROUND(3025255.66,2)</f>
        <v>3025255.66</v>
      </c>
      <c r="K464" s="13">
        <f>ROUND(847438.12,2)</f>
        <v>847438.12</v>
      </c>
    </row>
    <row r="465" spans="1:11" ht="68.25">
      <c r="A465" s="11" t="s">
        <v>958</v>
      </c>
      <c r="B465" s="12" t="s">
        <v>833</v>
      </c>
      <c r="C465" s="12" t="s">
        <v>583</v>
      </c>
      <c r="D465" s="13">
        <f>ROUND(189100,2)</f>
        <v>189100</v>
      </c>
      <c r="E465" s="13">
        <f t="shared" si="71"/>
        <v>0</v>
      </c>
      <c r="F465" s="13">
        <f>ROUND(189100,2)</f>
        <v>189100</v>
      </c>
      <c r="G465" s="13">
        <f>ROUND(0,2)</f>
        <v>0</v>
      </c>
      <c r="H465" s="13">
        <f>ROUND(82026,2)</f>
        <v>82026</v>
      </c>
      <c r="I465" s="13">
        <f t="shared" si="72"/>
        <v>0</v>
      </c>
      <c r="J465" s="13">
        <f>ROUND(82026,2)</f>
        <v>82026</v>
      </c>
      <c r="K465" s="13">
        <f>ROUND(0,2)</f>
        <v>0</v>
      </c>
    </row>
    <row r="466" spans="1:11" ht="23.25">
      <c r="A466" s="11" t="s">
        <v>336</v>
      </c>
      <c r="B466" s="12" t="s">
        <v>461</v>
      </c>
      <c r="C466" s="12" t="s">
        <v>414</v>
      </c>
      <c r="D466" s="13">
        <f>ROUND(170000,2)</f>
        <v>170000</v>
      </c>
      <c r="E466" s="13">
        <f t="shared" si="71"/>
        <v>0</v>
      </c>
      <c r="F466" s="13">
        <f>ROUND(170000,2)</f>
        <v>170000</v>
      </c>
      <c r="G466" s="13">
        <f>ROUND(0,2)</f>
        <v>0</v>
      </c>
      <c r="H466" s="13">
        <f>ROUND(63000,2)</f>
        <v>63000</v>
      </c>
      <c r="I466" s="13">
        <f t="shared" si="72"/>
        <v>0</v>
      </c>
      <c r="J466" s="13">
        <f>ROUND(63000,2)</f>
        <v>63000</v>
      </c>
      <c r="K466" s="13">
        <f>ROUND(0,2)</f>
        <v>0</v>
      </c>
    </row>
    <row r="467" spans="1:11" ht="23.25">
      <c r="A467" s="11" t="s">
        <v>824</v>
      </c>
      <c r="B467" s="12" t="s">
        <v>934</v>
      </c>
      <c r="C467" s="12" t="s">
        <v>973</v>
      </c>
      <c r="D467" s="13">
        <f>ROUND(19100,2)</f>
        <v>19100</v>
      </c>
      <c r="E467" s="13">
        <f t="shared" si="71"/>
        <v>0</v>
      </c>
      <c r="F467" s="13">
        <f>ROUND(19100,2)</f>
        <v>19100</v>
      </c>
      <c r="G467" s="13">
        <f>ROUND(0,2)</f>
        <v>0</v>
      </c>
      <c r="H467" s="13">
        <f>ROUND(19026,2)</f>
        <v>19026</v>
      </c>
      <c r="I467" s="13">
        <f t="shared" si="72"/>
        <v>0</v>
      </c>
      <c r="J467" s="13">
        <f>ROUND(19026,2)</f>
        <v>19026</v>
      </c>
      <c r="K467" s="13">
        <f>ROUND(0,2)</f>
        <v>0</v>
      </c>
    </row>
    <row r="468" spans="1:11" ht="12.75">
      <c r="A468" s="4" t="s">
        <v>761</v>
      </c>
      <c r="B468" s="5"/>
      <c r="C468" s="5"/>
      <c r="D468" s="5"/>
      <c r="E468" s="4" t="s">
        <v>761</v>
      </c>
      <c r="F468" s="5"/>
      <c r="G468" s="5"/>
      <c r="H468" s="5"/>
      <c r="I468" s="4" t="s">
        <v>761</v>
      </c>
      <c r="J468" s="5"/>
      <c r="K468" s="5"/>
    </row>
    <row r="469" spans="1:11" ht="15">
      <c r="A469" s="2"/>
      <c r="B469" s="15" t="s">
        <v>1040</v>
      </c>
      <c r="C469" s="16"/>
      <c r="D469" s="16"/>
      <c r="E469" s="17"/>
      <c r="F469" s="9"/>
      <c r="G469" s="5"/>
      <c r="H469" s="5"/>
      <c r="I469" s="5"/>
      <c r="J469" s="18" t="s">
        <v>1041</v>
      </c>
      <c r="K469" s="19"/>
    </row>
    <row r="470" spans="1:11" ht="12.75">
      <c r="A470" s="3"/>
      <c r="B470" s="8"/>
      <c r="C470" s="5"/>
      <c r="D470" s="5"/>
      <c r="E470" s="5"/>
      <c r="F470" s="8"/>
      <c r="G470" s="5"/>
      <c r="H470" s="5"/>
      <c r="I470" s="5"/>
      <c r="J470" s="4"/>
      <c r="K470" s="5"/>
    </row>
    <row r="471" spans="1:11" ht="15">
      <c r="A471" s="2"/>
      <c r="B471" s="15" t="s">
        <v>1042</v>
      </c>
      <c r="C471" s="16"/>
      <c r="D471" s="16"/>
      <c r="E471" s="17"/>
      <c r="F471" s="9"/>
      <c r="G471" s="5"/>
      <c r="H471" s="5"/>
      <c r="I471" s="5"/>
      <c r="J471" s="18" t="s">
        <v>1043</v>
      </c>
      <c r="K471" s="19"/>
    </row>
    <row r="472" spans="1:11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</sheetData>
  <mergeCells count="21">
    <mergeCell ref="J471:K471"/>
    <mergeCell ref="B469:E469"/>
    <mergeCell ref="F469:I469"/>
    <mergeCell ref="J469:K469"/>
    <mergeCell ref="B470:E470"/>
    <mergeCell ref="F470:I470"/>
    <mergeCell ref="J470:K470"/>
    <mergeCell ref="B471:E471"/>
    <mergeCell ref="E468:H468"/>
    <mergeCell ref="F471:I471"/>
    <mergeCell ref="I1:K1"/>
    <mergeCell ref="I2:K2"/>
    <mergeCell ref="I3:K3"/>
    <mergeCell ref="A468:D468"/>
    <mergeCell ref="I468:K468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1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2012-04-12T07:04:57Z</dcterms:created>
  <dcterms:modified xsi:type="dcterms:W3CDTF">2012-04-12T07:04:57Z</dcterms:modified>
  <cp:category/>
  <cp:version/>
  <cp:contentType/>
  <cp:contentStatus/>
</cp:coreProperties>
</file>