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<sst xmlns="http://schemas.openxmlformats.org/spreadsheetml/2006/main" count="177" uniqueCount="172">
  <si>
    <t>Выплата единовременного пособия при всех формах устройства детей, лишенных родительского попечения, в семью</t>
  </si>
  <si>
    <t>ВСЕГО по Новохоперскому району</t>
  </si>
  <si>
    <t>12301 000 0000 0000000 000 290</t>
  </si>
  <si>
    <t>101,332</t>
  </si>
  <si>
    <t>103,3</t>
  </si>
  <si>
    <t>101,251</t>
  </si>
  <si>
    <t>10720 000 0000 0000000 000 000</t>
  </si>
  <si>
    <t>101,211</t>
  </si>
  <si>
    <t>03101 000 0503 0000000 000 000</t>
  </si>
  <si>
    <t>101,359</t>
  </si>
  <si>
    <t>13200 000 0800 0000000 000 000</t>
  </si>
  <si>
    <t>101,91</t>
  </si>
  <si>
    <t>00202 000 0000 0000000 000 213</t>
  </si>
  <si>
    <t>08201 000 1004 5201311 005 000</t>
  </si>
  <si>
    <t>12202 000 0000 0000000 000 226</t>
  </si>
  <si>
    <t>103,9</t>
  </si>
  <si>
    <t>101,336</t>
  </si>
  <si>
    <t>101,181</t>
  </si>
  <si>
    <t>Осуществление первичного воинского учета на территориях, где отсутствуют военные комиссариаты</t>
  </si>
  <si>
    <t>103,7</t>
  </si>
  <si>
    <t>101,253</t>
  </si>
  <si>
    <t>ОСТАТКИ СРЕДСТВ БЮДЖЕТОВ НА ОТЧЕТНУЮ ДАТУ:</t>
  </si>
  <si>
    <t>101,109</t>
  </si>
  <si>
    <t>101,72</t>
  </si>
  <si>
    <t>в других сферах</t>
  </si>
  <si>
    <t>103,1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</si>
  <si>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</si>
  <si>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Служащие</t>
  </si>
  <si>
    <t>1  1 Утверждено консолидированный бюджет субъекта РФ</t>
  </si>
  <si>
    <t>Расходы по содержанию органов местного самоуправления, всего</t>
  </si>
  <si>
    <t>101,330</t>
  </si>
  <si>
    <t>101,183</t>
  </si>
  <si>
    <t>9  9 Утверждено бюджеты муниципальных районов</t>
  </si>
  <si>
    <t>Поддержка коммунального хозяйства, всего</t>
  </si>
  <si>
    <t>103,5</t>
  </si>
  <si>
    <t>Справка к месячному отчету</t>
  </si>
  <si>
    <t>Прочие работы, услуги, всего:</t>
  </si>
  <si>
    <t>бюджетные инвестиции (без ФАИП)</t>
  </si>
  <si>
    <t>№ листа / № строки</t>
  </si>
  <si>
    <t>Расходы на заработную плату работникам учреждений, осуществляемые за счет средств бюджетов бюджетной системы Российской Федерации ,           в том числе:</t>
  </si>
  <si>
    <t>10800 000 0000 0000000 000 000</t>
  </si>
  <si>
    <t>Муниципальные служащие</t>
  </si>
  <si>
    <t>101,334</t>
  </si>
  <si>
    <t>08203 000 1004 5201320 005 000</t>
  </si>
  <si>
    <t>услуги по страхованию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</si>
  <si>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</si>
  <si>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12205 000 0000 0000000 000 226</t>
  </si>
  <si>
    <t>Социальное обеспечение</t>
  </si>
  <si>
    <t>Выплата региональной доплаты к пенсии</t>
  </si>
  <si>
    <t>07900 000 1004 5050502 000 000</t>
  </si>
  <si>
    <t>000 0000 0000000 000 211 01</t>
  </si>
  <si>
    <t>101,347</t>
  </si>
  <si>
    <t>03900 000 0702 5200900 000 210</t>
  </si>
  <si>
    <t>101,115</t>
  </si>
  <si>
    <t>101,343</t>
  </si>
  <si>
    <t>на начисления на выплаты по оплате труда  - по 01 разделу</t>
  </si>
  <si>
    <t>остатки целевых средств бюджетов</t>
  </si>
  <si>
    <t>10101 000 0000 0000000 000 000</t>
  </si>
  <si>
    <t>08202 000 1004 5201312 000 000</t>
  </si>
  <si>
    <t>101,326</t>
  </si>
  <si>
    <t>101,328</t>
  </si>
  <si>
    <t>на заработную плату  - по 01 разделу в том числе:</t>
  </si>
  <si>
    <t>уплату штрафов, пеней за несвоевременную уплату налогов и сборов, другие экономические санкции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</si>
  <si>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</si>
  <si>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на начисления на выплаты по оплате труда</t>
  </si>
  <si>
    <t>на заработную плату</t>
  </si>
  <si>
    <t>10722 000 0000 0000000 000 000</t>
  </si>
  <si>
    <t>Расходы по содержанию органов местного самоуправления, всего - по 01 разделу</t>
  </si>
  <si>
    <t>21  21 Исполнено бюджеты муниципальных районов</t>
  </si>
  <si>
    <t>101,268</t>
  </si>
  <si>
    <t>Содержание ребенка в семье опекуна и приемной семье, а также вознаграждение, причитающееся приемному родителю</t>
  </si>
  <si>
    <t>101,7</t>
  </si>
  <si>
    <t>101,136</t>
  </si>
  <si>
    <t>101,9</t>
  </si>
  <si>
    <t>12200 000 0000 0000000 000 226</t>
  </si>
  <si>
    <t>101,324</t>
  </si>
  <si>
    <t>101,249</t>
  </si>
  <si>
    <t>12101 000 0000 0000000 000 225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</si>
  <si>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</si>
  <si>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00800 000 0203 0013600 000 000</t>
  </si>
  <si>
    <t>Расходы на содержание имущества, всего:</t>
  </si>
  <si>
    <t>Ед. измерения: документа -  руб.</t>
  </si>
  <si>
    <t>14  14 Исполнено консолидированный бюджет субъекта РФ (средства федерального бюджета)</t>
  </si>
  <si>
    <t>101,254</t>
  </si>
  <si>
    <t>Мероприятия в сфере культуры и кинематографии</t>
  </si>
  <si>
    <t>101,180</t>
  </si>
  <si>
    <t>Благоустройство, всего</t>
  </si>
  <si>
    <t>103,6</t>
  </si>
  <si>
    <t>08200 000 1004 5201300 000 000</t>
  </si>
  <si>
    <t>02800 000 0501 0000000 000 000</t>
  </si>
  <si>
    <t>103,8</t>
  </si>
  <si>
    <t>101,337</t>
  </si>
  <si>
    <t>04400 000 0800 4400000 000 000</t>
  </si>
  <si>
    <t>12203 000 0000 0000000 000 226</t>
  </si>
  <si>
    <t>10700 000 0000 0000000 000 000</t>
  </si>
  <si>
    <t>услуги вневедомственной (в том числе пожарной) охраны</t>
  </si>
  <si>
    <t>выплаты семьям опекунов на содержание подопечных детей</t>
  </si>
  <si>
    <t>МУНИЦИПАЛЬНЫЙ ДОЛГ, всего</t>
  </si>
  <si>
    <t>103,2</t>
  </si>
  <si>
    <t>08100 000 1004 0000000 005 000</t>
  </si>
  <si>
    <t>12300 000 0000 0000000 000 290</t>
  </si>
  <si>
    <t>11  11 Утверждено бюджеты городских и сельских поселений</t>
  </si>
  <si>
    <t>Наименование показателя</t>
  </si>
  <si>
    <t>000 0000 0000000 000 000 01</t>
  </si>
  <si>
    <t>04401 000 0801 4400200 000 000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</si>
  <si>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</si>
  <si>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03100 000 0503 0000000 000 000</t>
  </si>
  <si>
    <t>101,210</t>
  </si>
  <si>
    <t>101,335</t>
  </si>
  <si>
    <t>22  22 Исполнено бюджеты муниципальных районов (средства федерального бюджета)</t>
  </si>
  <si>
    <t>10801 000 0000 0000000 000 000</t>
  </si>
  <si>
    <t>101,182</t>
  </si>
  <si>
    <t>103,4</t>
  </si>
  <si>
    <t>12204 000 0000 0000000 000 226</t>
  </si>
  <si>
    <t>101,92</t>
  </si>
  <si>
    <t>МЕСЯЧНЫЙ ОТЧЕТ ОБ ИСПОЛНЕНИИ БЮДЖЕТА</t>
  </si>
  <si>
    <t>2  2 Утверждено консолидированный бюджет субъекта РФ (средства федерального бюджета)</t>
  </si>
  <si>
    <t>объем основного долга по бюджетным кредитам, привлеченным в местный бюджет, всего</t>
  </si>
  <si>
    <t>13000 000 0000 0000000 000 000</t>
  </si>
  <si>
    <t>Прочие расходы, всего:</t>
  </si>
  <si>
    <t>06200 000 1003 0000000 000 000</t>
  </si>
  <si>
    <t>06100 000 0000 0000000 000 260</t>
  </si>
  <si>
    <t>101,331</t>
  </si>
  <si>
    <t xml:space="preserve"> </t>
  </si>
  <si>
    <t>бюджетные кредиты, полученные из бюджета субъекта Российской Федерации</t>
  </si>
  <si>
    <t>12  12 Утверждено бюджеты городских и сельских поселений (средства федерального бюджета)</t>
  </si>
  <si>
    <t>10100 000 0000 0000000 000 000</t>
  </si>
  <si>
    <t>00201 000 0000 0000000 000 211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</si>
  <si>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</si>
  <si>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000 0000 0000000 000 213 01</t>
  </si>
  <si>
    <t>03000 000 0502 0000000 000 000</t>
  </si>
  <si>
    <t>Ежемесячное денежное вознаграждение за классное руководство</t>
  </si>
  <si>
    <t>12206 000 0000 0000000 000 226</t>
  </si>
  <si>
    <t>Поддержка жилищного хозяйства, всего</t>
  </si>
  <si>
    <t>12208 000 0000 0000000 000 226</t>
  </si>
  <si>
    <t>101,329</t>
  </si>
  <si>
    <t>в сфере образования</t>
  </si>
  <si>
    <t>101,135</t>
  </si>
  <si>
    <t>13  13 Исполнено консолидированный бюджет субъекта РФ</t>
  </si>
  <si>
    <t>бюджетные кредиты, полученные из местного бюджета</t>
  </si>
  <si>
    <t>101,323</t>
  </si>
  <si>
    <t>вознаграждение приемного родителя</t>
  </si>
  <si>
    <t>23  23 Исполнено бюджеты городских и сельских поселений</t>
  </si>
  <si>
    <t>101,21</t>
  </si>
  <si>
    <t>выплаты приемной семье на содержание подопечных детей</t>
  </si>
  <si>
    <t>Ед. измерения: отчета -  руб.</t>
  </si>
  <si>
    <t>101,179</t>
  </si>
  <si>
    <t>101,8</t>
  </si>
  <si>
    <t>24  24 Исполнено бюджеты городских и сельских поселений (средства федерального бюджета)</t>
  </si>
  <si>
    <t>10  10 Утверждено бюджеты муниципальных районов (средства федерального бюджета)</t>
  </si>
  <si>
    <t>Код показателя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</si>
  <si>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</si>
  <si>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Региональные и муниципальные  программы (без ФАИП)</t>
  </si>
  <si>
    <t>содержание в чистоте помещений, зданий, дворов, иного имущества</t>
  </si>
  <si>
    <t>101,177</t>
  </si>
  <si>
    <t>13100 000 0700 0000000 000 000</t>
  </si>
  <si>
    <t>12100 000 0000 0000000 000 225</t>
  </si>
  <si>
    <t>Муниципальные должности</t>
  </si>
  <si>
    <t>00200 000 0000 0000000 000 000</t>
  </si>
  <si>
    <t>101,86</t>
  </si>
  <si>
    <t>101,344</t>
  </si>
  <si>
    <t>10723 000 0000 0000000 000 000</t>
  </si>
  <si>
    <t>101,116</t>
  </si>
  <si>
    <t>услуги в области информационных технологий</t>
  </si>
  <si>
    <t>101,269</t>
  </si>
  <si>
    <t>12302 000 0000 0000000 000 290</t>
  </si>
  <si>
    <t>в сфере культуры и кинематографии</t>
  </si>
  <si>
    <t>13600 000 0000 0000000 000 000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</si>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</sst>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0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2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center" wrapText="1"/>
    </xf>
    <xf numFmtId="0" fontId="1" fillId="0" borderId="0" xfId="0" applyAlignment="1">
      <alignment horizontal="left" wrapText="1"/>
    </xf>
    <xf numFmtId="167" fontId="1" fillId="0" borderId="0" xfId="0" applyAlignment="1">
      <alignment horizontal="right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view="pageBreakPreview" zoomScale="60" workbookViewId="0" topLeftCell="A31">
      <selection activeCell="K59" sqref="K59"/>
    </sheetView>
  </sheetViews>
  <sheetFormatPr defaultColWidth="9.140625" defaultRowHeight="12.75"/>
  <cols>
    <col min="1" max="1" width="6.00390625" style="0" customWidth="1"/>
    <col min="2" max="2" width="22.140625" style="0" customWidth="1"/>
    <col min="3" max="3" width="17.57421875" style="0" customWidth="1"/>
    <col min="4" max="4" width="12.00390625" style="0" customWidth="1"/>
    <col min="5" max="5" width="10.140625" style="0" customWidth="1"/>
    <col min="6" max="6" width="11.7109375" style="0" customWidth="1"/>
    <col min="7" max="15" width="10.140625" style="0" customWidth="1"/>
  </cols>
  <sheetData>
    <row r="1" spans="1:15" ht="12.75" customHeight="1">
      <c r="A1" s="5"/>
      <c r="B1" s="6"/>
      <c r="C1" s="7" t="s">
        <v>115</v>
      </c>
      <c r="D1" s="6"/>
      <c r="E1" s="6"/>
      <c r="F1" s="6"/>
      <c r="G1" s="8"/>
      <c r="H1" s="6"/>
      <c r="I1" s="6"/>
      <c r="J1" s="6"/>
      <c r="K1" s="6"/>
      <c r="L1" s="8" t="s">
        <v>145</v>
      </c>
      <c r="M1" s="6"/>
      <c r="N1" s="6"/>
      <c r="O1" s="6"/>
    </row>
    <row r="2" spans="1:15" ht="12.75" customHeight="1">
      <c r="A2" s="5"/>
      <c r="B2" s="6"/>
      <c r="C2" s="7" t="s">
        <v>35</v>
      </c>
      <c r="D2" s="6"/>
      <c r="E2" s="6"/>
      <c r="F2" s="6"/>
      <c r="G2" s="8"/>
      <c r="H2" s="6"/>
      <c r="I2" s="6"/>
      <c r="J2" s="6"/>
      <c r="K2" s="6"/>
      <c r="L2" s="8" t="s">
        <v>81</v>
      </c>
      <c r="M2" s="6"/>
      <c r="N2" s="6"/>
      <c r="O2" s="6"/>
    </row>
    <row r="3" spans="1:15" ht="12.75">
      <c r="A3" s="5" t="s">
        <v>123</v>
      </c>
      <c r="B3" s="6"/>
      <c r="C3" s="7" t="s">
        <v>1</v>
      </c>
      <c r="D3" s="6"/>
      <c r="E3" s="6"/>
      <c r="F3" s="6"/>
      <c r="G3" s="5" t="s">
        <v>123</v>
      </c>
      <c r="H3" s="6"/>
      <c r="I3" s="6"/>
      <c r="J3" s="6"/>
      <c r="K3" s="6"/>
      <c r="L3" s="5" t="s">
        <v>123</v>
      </c>
      <c r="M3" s="6"/>
      <c r="N3" s="6"/>
      <c r="O3" s="6"/>
    </row>
    <row r="4" spans="1:15" ht="99">
      <c r="A4" s="1" t="s">
        <v>38</v>
      </c>
      <c r="B4" s="1" t="s">
        <v>150</v>
      </c>
      <c r="C4" s="1" t="s">
        <v>102</v>
      </c>
      <c r="D4" s="1" t="s">
        <v>28</v>
      </c>
      <c r="E4" s="1" t="s">
        <v>116</v>
      </c>
      <c r="F4" s="1" t="s">
        <v>32</v>
      </c>
      <c r="G4" s="1" t="s">
        <v>149</v>
      </c>
      <c r="H4" s="1" t="s">
        <v>101</v>
      </c>
      <c r="I4" s="1" t="s">
        <v>125</v>
      </c>
      <c r="J4" s="1" t="s">
        <v>138</v>
      </c>
      <c r="K4" s="1" t="s">
        <v>82</v>
      </c>
      <c r="L4" s="1" t="s">
        <v>68</v>
      </c>
      <c r="M4" s="1" t="s">
        <v>109</v>
      </c>
      <c r="N4" s="1" t="s">
        <v>142</v>
      </c>
      <c r="O4" s="1" t="s">
        <v>148</v>
      </c>
    </row>
    <row r="5" spans="1:15" ht="27.75">
      <c r="A5" s="2" t="s">
        <v>71</v>
      </c>
      <c r="B5" s="3" t="s">
        <v>158</v>
      </c>
      <c r="C5" s="3" t="s">
        <v>29</v>
      </c>
      <c r="D5" s="4">
        <f>ROUND(75284277.7,2)</f>
        <v>75284277.7</v>
      </c>
      <c r="E5" s="4">
        <f>ROUND(0,2)</f>
        <v>0</v>
      </c>
      <c r="F5" s="4">
        <f>ROUND(32245600.7,2)</f>
        <v>32245600.7</v>
      </c>
      <c r="G5" s="4">
        <f aca="true" t="shared" si="0" ref="G5:G12">ROUND(0,2)</f>
        <v>0</v>
      </c>
      <c r="H5" s="4">
        <f>ROUND(43038677,2)</f>
        <v>43038677</v>
      </c>
      <c r="I5" s="4">
        <f>ROUND(0,2)</f>
        <v>0</v>
      </c>
      <c r="J5" s="4">
        <f>ROUND(10734316.5,2)</f>
        <v>10734316.5</v>
      </c>
      <c r="K5" s="4">
        <f>ROUND(0,2)</f>
        <v>0</v>
      </c>
      <c r="L5" s="4">
        <f>ROUND(4445044.57,2)</f>
        <v>4445044.57</v>
      </c>
      <c r="M5" s="4">
        <f aca="true" t="shared" si="1" ref="M5:M29">ROUND(0,2)</f>
        <v>0</v>
      </c>
      <c r="N5" s="4">
        <f>ROUND(6289271.93,2)</f>
        <v>6289271.93</v>
      </c>
      <c r="O5" s="4">
        <f>ROUND(0,2)</f>
        <v>0</v>
      </c>
    </row>
    <row r="6" spans="1:15" ht="12.75">
      <c r="A6" s="2" t="s">
        <v>147</v>
      </c>
      <c r="B6" s="3" t="s">
        <v>127</v>
      </c>
      <c r="C6" s="3" t="s">
        <v>65</v>
      </c>
      <c r="D6" s="4">
        <f>ROUND(46280192.07,2)</f>
        <v>46280192.07</v>
      </c>
      <c r="E6" s="4">
        <f>ROUND(0,2)</f>
        <v>0</v>
      </c>
      <c r="F6" s="4">
        <f>ROUND(21970908.07,2)</f>
        <v>21970908.07</v>
      </c>
      <c r="G6" s="4">
        <f t="shared" si="0"/>
        <v>0</v>
      </c>
      <c r="H6" s="4">
        <f>ROUND(24309284,2)</f>
        <v>24309284</v>
      </c>
      <c r="I6" s="4">
        <f>ROUND(0,2)</f>
        <v>0</v>
      </c>
      <c r="J6" s="4">
        <f>ROUND(5747714.97,2)</f>
        <v>5747714.97</v>
      </c>
      <c r="K6" s="4">
        <f>ROUND(0,2)</f>
        <v>0</v>
      </c>
      <c r="L6" s="4">
        <f>ROUND(2632682.17,2)</f>
        <v>2632682.17</v>
      </c>
      <c r="M6" s="4">
        <f t="shared" si="1"/>
        <v>0</v>
      </c>
      <c r="N6" s="4">
        <f>ROUND(3115032.8,2)</f>
        <v>3115032.8</v>
      </c>
      <c r="O6" s="4">
        <f>ROUND(0,2)</f>
        <v>0</v>
      </c>
    </row>
    <row r="7" spans="1:15" ht="27.75">
      <c r="A7" s="2" t="s">
        <v>73</v>
      </c>
      <c r="B7" s="3" t="s">
        <v>12</v>
      </c>
      <c r="C7" s="3" t="s">
        <v>64</v>
      </c>
      <c r="D7" s="4">
        <f>ROUND(14230531.63,2)</f>
        <v>14230531.63</v>
      </c>
      <c r="E7" s="4">
        <f>ROUND(0,2)</f>
        <v>0</v>
      </c>
      <c r="F7" s="4">
        <f>ROUND(6859992.63,2)</f>
        <v>6859992.63</v>
      </c>
      <c r="G7" s="4">
        <f t="shared" si="0"/>
        <v>0</v>
      </c>
      <c r="H7" s="4">
        <f>ROUND(7370539,2)</f>
        <v>7370539</v>
      </c>
      <c r="I7" s="4">
        <f>ROUND(0,2)</f>
        <v>0</v>
      </c>
      <c r="J7" s="4">
        <f>ROUND(1507496.31,2)</f>
        <v>1507496.31</v>
      </c>
      <c r="K7" s="4">
        <f>ROUND(0,2)</f>
        <v>0</v>
      </c>
      <c r="L7" s="4">
        <f>ROUND(627207.08,2)</f>
        <v>627207.08</v>
      </c>
      <c r="M7" s="4">
        <f t="shared" si="1"/>
        <v>0</v>
      </c>
      <c r="N7" s="4">
        <f>ROUND(880289.23,2)</f>
        <v>880289.23</v>
      </c>
      <c r="O7" s="4">
        <f>ROUND(0,2)</f>
        <v>0</v>
      </c>
    </row>
    <row r="8" spans="1:15" ht="45.75">
      <c r="A8" s="2" t="s">
        <v>143</v>
      </c>
      <c r="B8" s="3" t="s">
        <v>79</v>
      </c>
      <c r="C8" s="3" t="s">
        <v>18</v>
      </c>
      <c r="D8" s="4">
        <f>ROUND(1928900,2)</f>
        <v>1928900</v>
      </c>
      <c r="E8" s="4">
        <f>ROUND(1928900,2)</f>
        <v>1928900</v>
      </c>
      <c r="F8" s="4">
        <f>ROUND(0,2)</f>
        <v>0</v>
      </c>
      <c r="G8" s="4">
        <f t="shared" si="0"/>
        <v>0</v>
      </c>
      <c r="H8" s="4">
        <f>ROUND(1928900,2)</f>
        <v>1928900</v>
      </c>
      <c r="I8" s="4">
        <f>ROUND(1928900,2)</f>
        <v>1928900</v>
      </c>
      <c r="J8" s="4">
        <f>ROUND(147418.51,2)</f>
        <v>147418.51</v>
      </c>
      <c r="K8" s="4">
        <f>ROUND(147418.51,2)</f>
        <v>147418.51</v>
      </c>
      <c r="L8" s="4">
        <f aca="true" t="shared" si="2" ref="L8:L15">ROUND(0,2)</f>
        <v>0</v>
      </c>
      <c r="M8" s="4">
        <f t="shared" si="1"/>
        <v>0</v>
      </c>
      <c r="N8" s="4">
        <f>ROUND(147418.51,2)</f>
        <v>147418.51</v>
      </c>
      <c r="O8" s="4">
        <f>ROUND(147418.51,2)</f>
        <v>147418.51</v>
      </c>
    </row>
    <row r="9" spans="1:15" ht="18.75">
      <c r="A9" s="2" t="s">
        <v>23</v>
      </c>
      <c r="B9" s="3" t="s">
        <v>89</v>
      </c>
      <c r="C9" s="3" t="s">
        <v>133</v>
      </c>
      <c r="D9" s="4">
        <f>ROUND(60000,2)</f>
        <v>60000</v>
      </c>
      <c r="E9" s="4">
        <f>ROUND(0,2)</f>
        <v>0</v>
      </c>
      <c r="F9" s="4">
        <f>ROUND(0,2)</f>
        <v>0</v>
      </c>
      <c r="G9" s="4">
        <f t="shared" si="0"/>
        <v>0</v>
      </c>
      <c r="H9" s="4">
        <f>ROUND(60000,2)</f>
        <v>60000</v>
      </c>
      <c r="I9" s="4">
        <f>ROUND(0,2)</f>
        <v>0</v>
      </c>
      <c r="J9" s="4">
        <f>ROUND(0,2)</f>
        <v>0</v>
      </c>
      <c r="K9" s="4">
        <f>ROUND(0,2)</f>
        <v>0</v>
      </c>
      <c r="L9" s="4">
        <f t="shared" si="2"/>
        <v>0</v>
      </c>
      <c r="M9" s="4">
        <f t="shared" si="1"/>
        <v>0</v>
      </c>
      <c r="N9" s="4">
        <f>ROUND(0,2)</f>
        <v>0</v>
      </c>
      <c r="O9" s="4">
        <f>ROUND(0,2)</f>
        <v>0</v>
      </c>
    </row>
    <row r="10" spans="1:15" ht="27.75">
      <c r="A10" s="2" t="s">
        <v>159</v>
      </c>
      <c r="B10" s="3" t="s">
        <v>130</v>
      </c>
      <c r="C10" s="3" t="s">
        <v>33</v>
      </c>
      <c r="D10" s="4">
        <f>ROUND(3400800,2)</f>
        <v>3400800</v>
      </c>
      <c r="E10" s="4">
        <f>ROUND(0,2)</f>
        <v>0</v>
      </c>
      <c r="F10" s="4">
        <f>ROUND(0,2)</f>
        <v>0</v>
      </c>
      <c r="G10" s="4">
        <f t="shared" si="0"/>
        <v>0</v>
      </c>
      <c r="H10" s="4">
        <f>ROUND(3400800,2)</f>
        <v>3400800</v>
      </c>
      <c r="I10" s="4">
        <f>ROUND(0,2)</f>
        <v>0</v>
      </c>
      <c r="J10" s="4">
        <f>ROUND(50000,2)</f>
        <v>50000</v>
      </c>
      <c r="K10" s="4">
        <f aca="true" t="shared" si="3" ref="K10:K29">ROUND(0,2)</f>
        <v>0</v>
      </c>
      <c r="L10" s="4">
        <f t="shared" si="2"/>
        <v>0</v>
      </c>
      <c r="M10" s="4">
        <f t="shared" si="1"/>
        <v>0</v>
      </c>
      <c r="N10" s="4">
        <f>ROUND(50000,2)</f>
        <v>50000</v>
      </c>
      <c r="O10" s="4">
        <f aca="true" t="shared" si="4" ref="O10:O29">ROUND(0,2)</f>
        <v>0</v>
      </c>
    </row>
    <row r="11" spans="1:15" ht="12.75">
      <c r="A11" s="2" t="s">
        <v>11</v>
      </c>
      <c r="B11" s="3" t="s">
        <v>106</v>
      </c>
      <c r="C11" s="3" t="s">
        <v>86</v>
      </c>
      <c r="D11" s="4">
        <f>ROUND(18721218,2)</f>
        <v>18721218</v>
      </c>
      <c r="E11" s="4">
        <f>ROUND(0,2)</f>
        <v>0</v>
      </c>
      <c r="F11" s="4">
        <f>ROUND(0,2)</f>
        <v>0</v>
      </c>
      <c r="G11" s="4">
        <f t="shared" si="0"/>
        <v>0</v>
      </c>
      <c r="H11" s="4">
        <f>ROUND(18721218,2)</f>
        <v>18721218</v>
      </c>
      <c r="I11" s="4">
        <f>ROUND(0,2)</f>
        <v>0</v>
      </c>
      <c r="J11" s="4">
        <f>ROUND(1846887.84,2)</f>
        <v>1846887.84</v>
      </c>
      <c r="K11" s="4">
        <f t="shared" si="3"/>
        <v>0</v>
      </c>
      <c r="L11" s="4">
        <f t="shared" si="2"/>
        <v>0</v>
      </c>
      <c r="M11" s="4">
        <f t="shared" si="1"/>
        <v>0</v>
      </c>
      <c r="N11" s="4">
        <f>ROUND(1846887.84,2)</f>
        <v>1846887.84</v>
      </c>
      <c r="O11" s="4">
        <f t="shared" si="4"/>
        <v>0</v>
      </c>
    </row>
    <row r="12" spans="1:15" ht="72.75">
      <c r="A12" s="2" t="s">
        <v>114</v>
      </c>
      <c r="B12" s="3" t="s">
        <v>8</v>
      </c>
      <c r="C12" s="3" t="s">
        <v>105</v>
      </c>
      <c r="D12" s="4">
        <f>ROUND(4233600,2)</f>
        <v>4233600</v>
      </c>
      <c r="E12" s="4">
        <f>ROUND(0,2)</f>
        <v>0</v>
      </c>
      <c r="F12" s="4">
        <f>ROUND(0,2)</f>
        <v>0</v>
      </c>
      <c r="G12" s="4">
        <f t="shared" si="0"/>
        <v>0</v>
      </c>
      <c r="H12" s="4">
        <f>ROUND(4233600,2)</f>
        <v>4233600</v>
      </c>
      <c r="I12" s="4">
        <f>ROUND(0,2)</f>
        <v>0</v>
      </c>
      <c r="J12" s="4">
        <f>ROUND(357834.98,2)</f>
        <v>357834.98</v>
      </c>
      <c r="K12" s="4">
        <f t="shared" si="3"/>
        <v>0</v>
      </c>
      <c r="L12" s="4">
        <f t="shared" si="2"/>
        <v>0</v>
      </c>
      <c r="M12" s="4">
        <f t="shared" si="1"/>
        <v>0</v>
      </c>
      <c r="N12" s="4">
        <f>ROUND(357834.98,2)</f>
        <v>357834.98</v>
      </c>
      <c r="O12" s="4">
        <f t="shared" si="4"/>
        <v>0</v>
      </c>
    </row>
    <row r="13" spans="1:15" ht="27.75">
      <c r="A13" s="2" t="s">
        <v>22</v>
      </c>
      <c r="B13" s="3" t="s">
        <v>52</v>
      </c>
      <c r="C13" s="3" t="s">
        <v>131</v>
      </c>
      <c r="D13" s="4">
        <f>ROUND(2575000,2)</f>
        <v>2575000</v>
      </c>
      <c r="E13" s="4">
        <f>ROUND(2575000,2)</f>
        <v>2575000</v>
      </c>
      <c r="F13" s="4">
        <f>ROUND(2575000,2)</f>
        <v>2575000</v>
      </c>
      <c r="G13" s="4">
        <f>ROUND(2575000,2)</f>
        <v>2575000</v>
      </c>
      <c r="H13" s="4">
        <f>ROUND(0,2)</f>
        <v>0</v>
      </c>
      <c r="I13" s="4">
        <f>ROUND(0,2)</f>
        <v>0</v>
      </c>
      <c r="J13" s="4">
        <f>ROUND(0,2)</f>
        <v>0</v>
      </c>
      <c r="K13" s="4">
        <f t="shared" si="3"/>
        <v>0</v>
      </c>
      <c r="L13" s="4">
        <f t="shared" si="2"/>
        <v>0</v>
      </c>
      <c r="M13" s="4">
        <f t="shared" si="1"/>
        <v>0</v>
      </c>
      <c r="N13" s="4">
        <f>ROUND(0,2)</f>
        <v>0</v>
      </c>
      <c r="O13" s="4">
        <f t="shared" si="4"/>
        <v>0</v>
      </c>
    </row>
    <row r="14" spans="1:15" ht="27.75">
      <c r="A14" s="2" t="s">
        <v>53</v>
      </c>
      <c r="B14" s="3" t="s">
        <v>92</v>
      </c>
      <c r="C14" s="3" t="s">
        <v>84</v>
      </c>
      <c r="D14" s="4">
        <f>ROUND(150500,2)</f>
        <v>150500</v>
      </c>
      <c r="E14" s="4">
        <f>ROUND(146200,2)</f>
        <v>146200</v>
      </c>
      <c r="F14" s="4">
        <f>ROUND(0,2)</f>
        <v>0</v>
      </c>
      <c r="G14" s="4">
        <f>ROUND(0,2)</f>
        <v>0</v>
      </c>
      <c r="H14" s="4">
        <f>ROUND(150500,2)</f>
        <v>150500</v>
      </c>
      <c r="I14" s="4">
        <f>ROUND(146200,2)</f>
        <v>146200</v>
      </c>
      <c r="J14" s="4">
        <f>ROUND(0,2)</f>
        <v>0</v>
      </c>
      <c r="K14" s="4">
        <f t="shared" si="3"/>
        <v>0</v>
      </c>
      <c r="L14" s="4">
        <f t="shared" si="2"/>
        <v>0</v>
      </c>
      <c r="M14" s="4">
        <f t="shared" si="1"/>
        <v>0</v>
      </c>
      <c r="N14" s="4">
        <f>ROUND(0,2)</f>
        <v>0</v>
      </c>
      <c r="O14" s="4">
        <f t="shared" si="4"/>
        <v>0</v>
      </c>
    </row>
    <row r="15" spans="1:15" ht="72.75">
      <c r="A15" s="2" t="s">
        <v>162</v>
      </c>
      <c r="B15" s="3" t="s">
        <v>104</v>
      </c>
      <c r="C15" s="3" t="s">
        <v>63</v>
      </c>
      <c r="D15" s="4">
        <f>ROUND(150500,2)</f>
        <v>150500</v>
      </c>
      <c r="E15" s="4">
        <f>ROUND(146200,2)</f>
        <v>146200</v>
      </c>
      <c r="F15" s="4">
        <f>ROUND(0,2)</f>
        <v>0</v>
      </c>
      <c r="G15" s="4">
        <f>ROUND(0,2)</f>
        <v>0</v>
      </c>
      <c r="H15" s="4">
        <f>ROUND(150500,2)</f>
        <v>150500</v>
      </c>
      <c r="I15" s="4">
        <f>ROUND(146200,2)</f>
        <v>146200</v>
      </c>
      <c r="J15" s="4">
        <f>ROUND(0,2)</f>
        <v>0</v>
      </c>
      <c r="K15" s="4">
        <f t="shared" si="3"/>
        <v>0</v>
      </c>
      <c r="L15" s="4">
        <f t="shared" si="2"/>
        <v>0</v>
      </c>
      <c r="M15" s="4">
        <f t="shared" si="1"/>
        <v>0</v>
      </c>
      <c r="N15" s="4">
        <f>ROUND(0,2)</f>
        <v>0</v>
      </c>
      <c r="O15" s="4">
        <f t="shared" si="4"/>
        <v>0</v>
      </c>
    </row>
    <row r="16" spans="1:15" ht="12.75">
      <c r="A16" s="2" t="s">
        <v>137</v>
      </c>
      <c r="B16" s="3" t="s">
        <v>121</v>
      </c>
      <c r="C16" s="3" t="s">
        <v>47</v>
      </c>
      <c r="D16" s="4">
        <f>ROUND(19521115,2)</f>
        <v>19521115</v>
      </c>
      <c r="E16" s="4">
        <f>ROUND(0,2)</f>
        <v>0</v>
      </c>
      <c r="F16" s="4">
        <f>ROUND(18691415,2)</f>
        <v>18691415</v>
      </c>
      <c r="G16" s="4">
        <f>ROUND(0,2)</f>
        <v>0</v>
      </c>
      <c r="H16" s="4">
        <f>ROUND(829700,2)</f>
        <v>829700</v>
      </c>
      <c r="I16" s="4">
        <f aca="true" t="shared" si="5" ref="I16:I56">ROUND(0,2)</f>
        <v>0</v>
      </c>
      <c r="J16" s="4">
        <f>ROUND(2665266.77,2)</f>
        <v>2665266.77</v>
      </c>
      <c r="K16" s="4">
        <f t="shared" si="3"/>
        <v>0</v>
      </c>
      <c r="L16" s="4">
        <f>ROUND(2604387.2,2)</f>
        <v>2604387.2</v>
      </c>
      <c r="M16" s="4">
        <f t="shared" si="1"/>
        <v>0</v>
      </c>
      <c r="N16" s="4">
        <f>ROUND(60879.57,2)</f>
        <v>60879.57</v>
      </c>
      <c r="O16" s="4">
        <f t="shared" si="4"/>
        <v>0</v>
      </c>
    </row>
    <row r="17" spans="1:15" ht="18.75">
      <c r="A17" s="2" t="s">
        <v>72</v>
      </c>
      <c r="B17" s="3" t="s">
        <v>120</v>
      </c>
      <c r="C17" s="3" t="s">
        <v>48</v>
      </c>
      <c r="D17" s="4">
        <f>ROUND(2673700,2)</f>
        <v>2673700</v>
      </c>
      <c r="E17" s="4">
        <f>ROUND(0,2)</f>
        <v>0</v>
      </c>
      <c r="F17" s="4">
        <f>ROUND(2000000,2)</f>
        <v>2000000</v>
      </c>
      <c r="G17" s="4">
        <f>ROUND(0,2)</f>
        <v>0</v>
      </c>
      <c r="H17" s="4">
        <f>ROUND(673700,2)</f>
        <v>673700</v>
      </c>
      <c r="I17" s="4">
        <f t="shared" si="5"/>
        <v>0</v>
      </c>
      <c r="J17" s="4">
        <f>ROUND(466988.03,2)</f>
        <v>466988.03</v>
      </c>
      <c r="K17" s="4">
        <f t="shared" si="3"/>
        <v>0</v>
      </c>
      <c r="L17" s="4">
        <f>ROUND(412108.46,2)</f>
        <v>412108.46</v>
      </c>
      <c r="M17" s="4">
        <f t="shared" si="1"/>
        <v>0</v>
      </c>
      <c r="N17" s="4">
        <f>ROUND(54879.57,2)</f>
        <v>54879.57</v>
      </c>
      <c r="O17" s="4">
        <f t="shared" si="4"/>
        <v>0</v>
      </c>
    </row>
    <row r="18" spans="1:15" ht="54.75">
      <c r="A18" s="2" t="s">
        <v>154</v>
      </c>
      <c r="B18" s="3" t="s">
        <v>49</v>
      </c>
      <c r="C18" s="3" t="s">
        <v>0</v>
      </c>
      <c r="D18" s="4">
        <f>ROUND(251800,2)</f>
        <v>251800</v>
      </c>
      <c r="E18" s="4">
        <f>ROUND(251800,2)</f>
        <v>251800</v>
      </c>
      <c r="F18" s="4">
        <f>ROUND(251800,2)</f>
        <v>251800</v>
      </c>
      <c r="G18" s="4">
        <f>ROUND(251800,2)</f>
        <v>251800</v>
      </c>
      <c r="H18" s="4">
        <f aca="true" t="shared" si="6" ref="H18:H23">ROUND(0,2)</f>
        <v>0</v>
      </c>
      <c r="I18" s="4">
        <f t="shared" si="5"/>
        <v>0</v>
      </c>
      <c r="J18" s="4">
        <f>ROUND(0,2)</f>
        <v>0</v>
      </c>
      <c r="K18" s="4">
        <f t="shared" si="3"/>
        <v>0</v>
      </c>
      <c r="L18" s="4">
        <f>ROUND(0,2)</f>
        <v>0</v>
      </c>
      <c r="M18" s="4">
        <f t="shared" si="1"/>
        <v>0</v>
      </c>
      <c r="N18" s="4">
        <f aca="true" t="shared" si="7" ref="N18:N23">ROUND(0,2)</f>
        <v>0</v>
      </c>
      <c r="O18" s="4">
        <f t="shared" si="4"/>
        <v>0</v>
      </c>
    </row>
    <row r="19" spans="1:15" ht="81.75">
      <c r="A19" s="2" t="s">
        <v>146</v>
      </c>
      <c r="B19" s="3" t="s">
        <v>99</v>
      </c>
      <c r="C19" s="3" t="s">
        <v>26</v>
      </c>
      <c r="D19" s="4">
        <f>ROUND(1762000,2)</f>
        <v>1762000</v>
      </c>
      <c r="E19" s="4">
        <f aca="true" t="shared" si="8" ref="E19:E56">ROUND(0,2)</f>
        <v>0</v>
      </c>
      <c r="F19" s="4">
        <f>ROUND(1762000,2)</f>
        <v>1762000</v>
      </c>
      <c r="G19" s="4">
        <f aca="true" t="shared" si="9" ref="G19:G56">ROUND(0,2)</f>
        <v>0</v>
      </c>
      <c r="H19" s="4">
        <f t="shared" si="6"/>
        <v>0</v>
      </c>
      <c r="I19" s="4">
        <f t="shared" si="5"/>
        <v>0</v>
      </c>
      <c r="J19" s="4">
        <f>ROUND(275510.71,2)</f>
        <v>275510.71</v>
      </c>
      <c r="K19" s="4">
        <f t="shared" si="3"/>
        <v>0</v>
      </c>
      <c r="L19" s="4">
        <f>ROUND(275510.71,2)</f>
        <v>275510.71</v>
      </c>
      <c r="M19" s="4">
        <f t="shared" si="1"/>
        <v>0</v>
      </c>
      <c r="N19" s="4">
        <f t="shared" si="7"/>
        <v>0</v>
      </c>
      <c r="O19" s="4">
        <f t="shared" si="4"/>
        <v>0</v>
      </c>
    </row>
    <row r="20" spans="1:15" ht="54.75">
      <c r="A20" s="2" t="s">
        <v>85</v>
      </c>
      <c r="B20" s="3" t="s">
        <v>88</v>
      </c>
      <c r="C20" s="3" t="s">
        <v>70</v>
      </c>
      <c r="D20" s="4">
        <f>ROUND(9726000,2)</f>
        <v>9726000</v>
      </c>
      <c r="E20" s="4">
        <f t="shared" si="8"/>
        <v>0</v>
      </c>
      <c r="F20" s="4">
        <f>ROUND(9726000,2)</f>
        <v>9726000</v>
      </c>
      <c r="G20" s="4">
        <f t="shared" si="9"/>
        <v>0</v>
      </c>
      <c r="H20" s="4">
        <f t="shared" si="6"/>
        <v>0</v>
      </c>
      <c r="I20" s="4">
        <f t="shared" si="5"/>
        <v>0</v>
      </c>
      <c r="J20" s="4">
        <f>ROUND(1634739.78,2)</f>
        <v>1634739.78</v>
      </c>
      <c r="K20" s="4">
        <f t="shared" si="3"/>
        <v>0</v>
      </c>
      <c r="L20" s="4">
        <f>ROUND(1634739.78,2)</f>
        <v>1634739.78</v>
      </c>
      <c r="M20" s="4">
        <f t="shared" si="1"/>
        <v>0</v>
      </c>
      <c r="N20" s="4">
        <f t="shared" si="7"/>
        <v>0</v>
      </c>
      <c r="O20" s="4">
        <f t="shared" si="4"/>
        <v>0</v>
      </c>
    </row>
    <row r="21" spans="1:15" ht="27.75">
      <c r="A21" s="2" t="s">
        <v>17</v>
      </c>
      <c r="B21" s="3" t="s">
        <v>13</v>
      </c>
      <c r="C21" s="3" t="s">
        <v>144</v>
      </c>
      <c r="D21" s="4">
        <f>ROUND(1362000,2)</f>
        <v>1362000</v>
      </c>
      <c r="E21" s="4">
        <f t="shared" si="8"/>
        <v>0</v>
      </c>
      <c r="F21" s="4">
        <f>ROUND(1362000,2)</f>
        <v>1362000</v>
      </c>
      <c r="G21" s="4">
        <f t="shared" si="9"/>
        <v>0</v>
      </c>
      <c r="H21" s="4">
        <f t="shared" si="6"/>
        <v>0</v>
      </c>
      <c r="I21" s="4">
        <f t="shared" si="5"/>
        <v>0</v>
      </c>
      <c r="J21" s="4">
        <f>ROUND(235269.03,2)</f>
        <v>235269.03</v>
      </c>
      <c r="K21" s="4">
        <f t="shared" si="3"/>
        <v>0</v>
      </c>
      <c r="L21" s="4">
        <f>ROUND(235269.03,2)</f>
        <v>235269.03</v>
      </c>
      <c r="M21" s="4">
        <f t="shared" si="1"/>
        <v>0</v>
      </c>
      <c r="N21" s="4">
        <f t="shared" si="7"/>
        <v>0</v>
      </c>
      <c r="O21" s="4">
        <f t="shared" si="4"/>
        <v>0</v>
      </c>
    </row>
    <row r="22" spans="1:15" ht="18.75">
      <c r="A22" s="2" t="s">
        <v>111</v>
      </c>
      <c r="B22" s="3" t="s">
        <v>58</v>
      </c>
      <c r="C22" s="3" t="s">
        <v>141</v>
      </c>
      <c r="D22" s="4">
        <f>ROUND(1488000,2)</f>
        <v>1488000</v>
      </c>
      <c r="E22" s="4">
        <f t="shared" si="8"/>
        <v>0</v>
      </c>
      <c r="F22" s="4">
        <f>ROUND(1488000,2)</f>
        <v>1488000</v>
      </c>
      <c r="G22" s="4">
        <f t="shared" si="9"/>
        <v>0</v>
      </c>
      <c r="H22" s="4">
        <f t="shared" si="6"/>
        <v>0</v>
      </c>
      <c r="I22" s="4">
        <f t="shared" si="5"/>
        <v>0</v>
      </c>
      <c r="J22" s="4">
        <f>ROUND(249071.75,2)</f>
        <v>249071.75</v>
      </c>
      <c r="K22" s="4">
        <f t="shared" si="3"/>
        <v>0</v>
      </c>
      <c r="L22" s="4">
        <f>ROUND(249071.75,2)</f>
        <v>249071.75</v>
      </c>
      <c r="M22" s="4">
        <f t="shared" si="1"/>
        <v>0</v>
      </c>
      <c r="N22" s="4">
        <f t="shared" si="7"/>
        <v>0</v>
      </c>
      <c r="O22" s="4">
        <f t="shared" si="4"/>
        <v>0</v>
      </c>
    </row>
    <row r="23" spans="1:15" ht="27.75">
      <c r="A23" s="2" t="s">
        <v>31</v>
      </c>
      <c r="B23" s="3" t="s">
        <v>43</v>
      </c>
      <c r="C23" s="3" t="s">
        <v>96</v>
      </c>
      <c r="D23" s="4">
        <f>ROUND(6876000,2)</f>
        <v>6876000</v>
      </c>
      <c r="E23" s="4">
        <f t="shared" si="8"/>
        <v>0</v>
      </c>
      <c r="F23" s="4">
        <f>ROUND(6876000,2)</f>
        <v>6876000</v>
      </c>
      <c r="G23" s="4">
        <f t="shared" si="9"/>
        <v>0</v>
      </c>
      <c r="H23" s="4">
        <f t="shared" si="6"/>
        <v>0</v>
      </c>
      <c r="I23" s="4">
        <f t="shared" si="5"/>
        <v>0</v>
      </c>
      <c r="J23" s="4">
        <f>ROUND(1150399,2)</f>
        <v>1150399</v>
      </c>
      <c r="K23" s="4">
        <f t="shared" si="3"/>
        <v>0</v>
      </c>
      <c r="L23" s="4">
        <f>ROUND(1150399,2)</f>
        <v>1150399</v>
      </c>
      <c r="M23" s="4">
        <f t="shared" si="1"/>
        <v>0</v>
      </c>
      <c r="N23" s="4">
        <f t="shared" si="7"/>
        <v>0</v>
      </c>
      <c r="O23" s="4">
        <f t="shared" si="4"/>
        <v>0</v>
      </c>
    </row>
    <row r="24" spans="1:15" ht="27.75">
      <c r="A24" s="2" t="s">
        <v>107</v>
      </c>
      <c r="B24" s="3" t="s">
        <v>126</v>
      </c>
      <c r="C24" s="3" t="s">
        <v>152</v>
      </c>
      <c r="D24" s="4">
        <f>ROUND(145580530,2)</f>
        <v>145580530</v>
      </c>
      <c r="E24" s="4">
        <f t="shared" si="8"/>
        <v>0</v>
      </c>
      <c r="F24" s="4">
        <f>ROUND(117258426,2)</f>
        <v>117258426</v>
      </c>
      <c r="G24" s="4">
        <f t="shared" si="9"/>
        <v>0</v>
      </c>
      <c r="H24" s="4">
        <f>ROUND(28322104,2)</f>
        <v>28322104</v>
      </c>
      <c r="I24" s="4">
        <f t="shared" si="5"/>
        <v>0</v>
      </c>
      <c r="J24" s="4">
        <f>ROUND(28454503.79,2)</f>
        <v>28454503.79</v>
      </c>
      <c r="K24" s="4">
        <f t="shared" si="3"/>
        <v>0</v>
      </c>
      <c r="L24" s="4">
        <f>ROUND(24719917.31,2)</f>
        <v>24719917.31</v>
      </c>
      <c r="M24" s="4">
        <f t="shared" si="1"/>
        <v>0</v>
      </c>
      <c r="N24" s="4">
        <f>ROUND(3734586.48,2)</f>
        <v>3734586.48</v>
      </c>
      <c r="O24" s="4">
        <f t="shared" si="4"/>
        <v>0</v>
      </c>
    </row>
    <row r="25" spans="1:15" ht="18.75">
      <c r="A25" s="2" t="s">
        <v>7</v>
      </c>
      <c r="B25" s="3" t="s">
        <v>57</v>
      </c>
      <c r="C25" s="3" t="s">
        <v>37</v>
      </c>
      <c r="D25" s="4">
        <f>ROUND(7986000,2)</f>
        <v>7986000</v>
      </c>
      <c r="E25" s="4">
        <f t="shared" si="8"/>
        <v>0</v>
      </c>
      <c r="F25" s="4">
        <f>ROUND(7300000,2)</f>
        <v>7300000</v>
      </c>
      <c r="G25" s="4">
        <f t="shared" si="9"/>
        <v>0</v>
      </c>
      <c r="H25" s="4">
        <f>ROUND(686000,2)</f>
        <v>686000</v>
      </c>
      <c r="I25" s="4">
        <f t="shared" si="5"/>
        <v>0</v>
      </c>
      <c r="J25" s="4">
        <f>ROUND(313827.73,2)</f>
        <v>313827.73</v>
      </c>
      <c r="K25" s="4">
        <f t="shared" si="3"/>
        <v>0</v>
      </c>
      <c r="L25" s="4">
        <f>ROUND(128637.9,2)</f>
        <v>128637.9</v>
      </c>
      <c r="M25" s="4">
        <f t="shared" si="1"/>
        <v>0</v>
      </c>
      <c r="N25" s="4">
        <f>ROUND(185189.83,2)</f>
        <v>185189.83</v>
      </c>
      <c r="O25" s="4">
        <f t="shared" si="4"/>
        <v>0</v>
      </c>
    </row>
    <row r="26" spans="1:15" ht="18.75">
      <c r="A26" s="2" t="s">
        <v>76</v>
      </c>
      <c r="B26" s="3" t="s">
        <v>94</v>
      </c>
      <c r="C26" s="3" t="s">
        <v>97</v>
      </c>
      <c r="D26" s="4">
        <f aca="true" t="shared" si="10" ref="D26:D43">ROUND(0,2)</f>
        <v>0</v>
      </c>
      <c r="E26" s="4">
        <f t="shared" si="8"/>
        <v>0</v>
      </c>
      <c r="F26" s="4">
        <f aca="true" t="shared" si="11" ref="F26:F43">ROUND(0,2)</f>
        <v>0</v>
      </c>
      <c r="G26" s="4">
        <f t="shared" si="9"/>
        <v>0</v>
      </c>
      <c r="H26" s="4">
        <f aca="true" t="shared" si="12" ref="H26:H43">ROUND(0,2)</f>
        <v>0</v>
      </c>
      <c r="I26" s="4">
        <f t="shared" si="5"/>
        <v>0</v>
      </c>
      <c r="J26" s="4">
        <f>ROUND(52542519.63,2)</f>
        <v>52542519.63</v>
      </c>
      <c r="K26" s="4">
        <f t="shared" si="3"/>
        <v>0</v>
      </c>
      <c r="L26" s="4">
        <f>ROUND(52260619.63,2)</f>
        <v>52260619.63</v>
      </c>
      <c r="M26" s="4">
        <f t="shared" si="1"/>
        <v>0</v>
      </c>
      <c r="N26" s="4">
        <f>ROUND(281900,2)</f>
        <v>281900</v>
      </c>
      <c r="O26" s="4">
        <f t="shared" si="4"/>
        <v>0</v>
      </c>
    </row>
    <row r="27" spans="1:15" ht="36.75">
      <c r="A27" s="2" t="s">
        <v>5</v>
      </c>
      <c r="B27" s="3" t="s">
        <v>6</v>
      </c>
      <c r="C27" s="3" t="s">
        <v>117</v>
      </c>
      <c r="D27" s="4">
        <f t="shared" si="10"/>
        <v>0</v>
      </c>
      <c r="E27" s="4">
        <f t="shared" si="8"/>
        <v>0</v>
      </c>
      <c r="F27" s="4">
        <f t="shared" si="11"/>
        <v>0</v>
      </c>
      <c r="G27" s="4">
        <f t="shared" si="9"/>
        <v>0</v>
      </c>
      <c r="H27" s="4">
        <f t="shared" si="12"/>
        <v>0</v>
      </c>
      <c r="I27" s="4">
        <f t="shared" si="5"/>
        <v>0</v>
      </c>
      <c r="J27" s="4">
        <f>ROUND(52542519.63,2)</f>
        <v>52542519.63</v>
      </c>
      <c r="K27" s="4">
        <f t="shared" si="3"/>
        <v>0</v>
      </c>
      <c r="L27" s="4">
        <f>ROUND(52260619.63,2)</f>
        <v>52260619.63</v>
      </c>
      <c r="M27" s="4">
        <f t="shared" si="1"/>
        <v>0</v>
      </c>
      <c r="N27" s="4">
        <f>ROUND(281900,2)</f>
        <v>281900</v>
      </c>
      <c r="O27" s="4">
        <f t="shared" si="4"/>
        <v>0</v>
      </c>
    </row>
    <row r="28" spans="1:15" ht="36.75">
      <c r="A28" s="2" t="s">
        <v>20</v>
      </c>
      <c r="B28" s="3" t="s">
        <v>66</v>
      </c>
      <c r="C28" s="3" t="s">
        <v>124</v>
      </c>
      <c r="D28" s="4">
        <f t="shared" si="10"/>
        <v>0</v>
      </c>
      <c r="E28" s="4">
        <f t="shared" si="8"/>
        <v>0</v>
      </c>
      <c r="F28" s="4">
        <f t="shared" si="11"/>
        <v>0</v>
      </c>
      <c r="G28" s="4">
        <f t="shared" si="9"/>
        <v>0</v>
      </c>
      <c r="H28" s="4">
        <f t="shared" si="12"/>
        <v>0</v>
      </c>
      <c r="I28" s="4">
        <f t="shared" si="5"/>
        <v>0</v>
      </c>
      <c r="J28" s="4">
        <f>ROUND(52260619.63,2)</f>
        <v>52260619.63</v>
      </c>
      <c r="K28" s="4">
        <f t="shared" si="3"/>
        <v>0</v>
      </c>
      <c r="L28" s="4">
        <f>ROUND(52260619.63,2)</f>
        <v>52260619.63</v>
      </c>
      <c r="M28" s="4">
        <f t="shared" si="1"/>
        <v>0</v>
      </c>
      <c r="N28" s="4">
        <f>ROUND(0,2)</f>
        <v>0</v>
      </c>
      <c r="O28" s="4">
        <f t="shared" si="4"/>
        <v>0</v>
      </c>
    </row>
    <row r="29" spans="1:15" ht="27.75">
      <c r="A29" s="2" t="s">
        <v>83</v>
      </c>
      <c r="B29" s="3" t="s">
        <v>161</v>
      </c>
      <c r="C29" s="3" t="s">
        <v>139</v>
      </c>
      <c r="D29" s="4">
        <f t="shared" si="10"/>
        <v>0</v>
      </c>
      <c r="E29" s="4">
        <f t="shared" si="8"/>
        <v>0</v>
      </c>
      <c r="F29" s="4">
        <f t="shared" si="11"/>
        <v>0</v>
      </c>
      <c r="G29" s="4">
        <f t="shared" si="9"/>
        <v>0</v>
      </c>
      <c r="H29" s="4">
        <f t="shared" si="12"/>
        <v>0</v>
      </c>
      <c r="I29" s="4">
        <f t="shared" si="5"/>
        <v>0</v>
      </c>
      <c r="J29" s="4">
        <f>ROUND(281900,2)</f>
        <v>281900</v>
      </c>
      <c r="K29" s="4">
        <f t="shared" si="3"/>
        <v>0</v>
      </c>
      <c r="L29" s="4">
        <f>ROUND(0,2)</f>
        <v>0</v>
      </c>
      <c r="M29" s="4">
        <f t="shared" si="1"/>
        <v>0</v>
      </c>
      <c r="N29" s="4">
        <f>ROUND(281900,2)</f>
        <v>281900</v>
      </c>
      <c r="O29" s="4">
        <f t="shared" si="4"/>
        <v>0</v>
      </c>
    </row>
    <row r="30" spans="1:15" ht="27.75">
      <c r="A30" s="2" t="s">
        <v>69</v>
      </c>
      <c r="B30" s="3" t="s">
        <v>40</v>
      </c>
      <c r="C30" s="3" t="s">
        <v>21</v>
      </c>
      <c r="D30" s="4">
        <f t="shared" si="10"/>
        <v>0</v>
      </c>
      <c r="E30" s="4">
        <f t="shared" si="8"/>
        <v>0</v>
      </c>
      <c r="F30" s="4">
        <f t="shared" si="11"/>
        <v>0</v>
      </c>
      <c r="G30" s="4">
        <f t="shared" si="9"/>
        <v>0</v>
      </c>
      <c r="H30" s="4">
        <f t="shared" si="12"/>
        <v>0</v>
      </c>
      <c r="I30" s="4">
        <f t="shared" si="5"/>
        <v>0</v>
      </c>
      <c r="J30" s="4">
        <f>ROUND(26000201.22,2)</f>
        <v>26000201.22</v>
      </c>
      <c r="K30" s="4">
        <f>ROUND(2594931.49,2)</f>
        <v>2594931.49</v>
      </c>
      <c r="L30" s="4">
        <f>ROUND(8710929.52,2)</f>
        <v>8710929.52</v>
      </c>
      <c r="M30" s="4">
        <f>ROUND(2421150,2)</f>
        <v>2421150</v>
      </c>
      <c r="N30" s="4">
        <f>ROUND(17289271.7,2)</f>
        <v>17289271.7</v>
      </c>
      <c r="O30" s="4">
        <f>ROUND(173781.49,2)</f>
        <v>173781.49</v>
      </c>
    </row>
    <row r="31" spans="1:15" ht="18.75">
      <c r="A31" s="2" t="s">
        <v>164</v>
      </c>
      <c r="B31" s="3" t="s">
        <v>110</v>
      </c>
      <c r="C31" s="3" t="s">
        <v>56</v>
      </c>
      <c r="D31" s="4">
        <f t="shared" si="10"/>
        <v>0</v>
      </c>
      <c r="E31" s="4">
        <f t="shared" si="8"/>
        <v>0</v>
      </c>
      <c r="F31" s="4">
        <f t="shared" si="11"/>
        <v>0</v>
      </c>
      <c r="G31" s="4">
        <f t="shared" si="9"/>
        <v>0</v>
      </c>
      <c r="H31" s="4">
        <f t="shared" si="12"/>
        <v>0</v>
      </c>
      <c r="I31" s="4">
        <f t="shared" si="5"/>
        <v>0</v>
      </c>
      <c r="J31" s="4">
        <f>ROUND(6358000.25,2)</f>
        <v>6358000.25</v>
      </c>
      <c r="K31" s="4">
        <f>ROUND(2594931.49,2)</f>
        <v>2594931.49</v>
      </c>
      <c r="L31" s="4">
        <f>ROUND(4846826.74,2)</f>
        <v>4846826.74</v>
      </c>
      <c r="M31" s="4">
        <f>ROUND(2421150,2)</f>
        <v>2421150</v>
      </c>
      <c r="N31" s="4">
        <f>ROUND(1511173.51,2)</f>
        <v>1511173.51</v>
      </c>
      <c r="O31" s="4">
        <f>ROUND(173781.49,2)</f>
        <v>173781.49</v>
      </c>
    </row>
    <row r="32" spans="1:15" ht="18.75">
      <c r="A32" s="2" t="s">
        <v>140</v>
      </c>
      <c r="B32" s="3" t="s">
        <v>156</v>
      </c>
      <c r="C32" s="3" t="s">
        <v>80</v>
      </c>
      <c r="D32" s="4">
        <f t="shared" si="10"/>
        <v>0</v>
      </c>
      <c r="E32" s="4">
        <f t="shared" si="8"/>
        <v>0</v>
      </c>
      <c r="F32" s="4">
        <f t="shared" si="11"/>
        <v>0</v>
      </c>
      <c r="G32" s="4">
        <f t="shared" si="9"/>
        <v>0</v>
      </c>
      <c r="H32" s="4">
        <f t="shared" si="12"/>
        <v>0</v>
      </c>
      <c r="I32" s="4">
        <f t="shared" si="5"/>
        <v>0</v>
      </c>
      <c r="J32" s="4">
        <f>ROUND(1494174.91,2)</f>
        <v>1494174.91</v>
      </c>
      <c r="K32" s="4">
        <f aca="true" t="shared" si="13" ref="K32:K56">ROUND(0,2)</f>
        <v>0</v>
      </c>
      <c r="L32" s="4">
        <f>ROUND(406872.72,2)</f>
        <v>406872.72</v>
      </c>
      <c r="M32" s="4">
        <f aca="true" t="shared" si="14" ref="M32:M56">ROUND(0,2)</f>
        <v>0</v>
      </c>
      <c r="N32" s="4">
        <f>ROUND(1087302.19,2)</f>
        <v>1087302.19</v>
      </c>
      <c r="O32" s="4">
        <f aca="true" t="shared" si="15" ref="O32:O56">ROUND(0,2)</f>
        <v>0</v>
      </c>
    </row>
    <row r="33" spans="1:15" ht="27.75">
      <c r="A33" s="2" t="s">
        <v>75</v>
      </c>
      <c r="B33" s="3" t="s">
        <v>77</v>
      </c>
      <c r="C33" s="3" t="s">
        <v>153</v>
      </c>
      <c r="D33" s="4">
        <f t="shared" si="10"/>
        <v>0</v>
      </c>
      <c r="E33" s="4">
        <f t="shared" si="8"/>
        <v>0</v>
      </c>
      <c r="F33" s="4">
        <f t="shared" si="11"/>
        <v>0</v>
      </c>
      <c r="G33" s="4">
        <f t="shared" si="9"/>
        <v>0</v>
      </c>
      <c r="H33" s="4">
        <f t="shared" si="12"/>
        <v>0</v>
      </c>
      <c r="I33" s="4">
        <f t="shared" si="5"/>
        <v>0</v>
      </c>
      <c r="J33" s="4">
        <f>ROUND(514468.17,2)</f>
        <v>514468.17</v>
      </c>
      <c r="K33" s="4">
        <f t="shared" si="13"/>
        <v>0</v>
      </c>
      <c r="L33" s="4">
        <f>ROUND(77363.42,2)</f>
        <v>77363.42</v>
      </c>
      <c r="M33" s="4">
        <f t="shared" si="14"/>
        <v>0</v>
      </c>
      <c r="N33" s="4">
        <f>ROUND(437104.75,2)</f>
        <v>437104.75</v>
      </c>
      <c r="O33" s="4">
        <f t="shared" si="15"/>
        <v>0</v>
      </c>
    </row>
    <row r="34" spans="1:15" ht="18.75">
      <c r="A34" s="2" t="s">
        <v>59</v>
      </c>
      <c r="B34" s="3" t="s">
        <v>74</v>
      </c>
      <c r="C34" s="3" t="s">
        <v>36</v>
      </c>
      <c r="D34" s="4">
        <f t="shared" si="10"/>
        <v>0</v>
      </c>
      <c r="E34" s="4">
        <f t="shared" si="8"/>
        <v>0</v>
      </c>
      <c r="F34" s="4">
        <f t="shared" si="11"/>
        <v>0</v>
      </c>
      <c r="G34" s="4">
        <f t="shared" si="9"/>
        <v>0</v>
      </c>
      <c r="H34" s="4">
        <f t="shared" si="12"/>
        <v>0</v>
      </c>
      <c r="I34" s="4">
        <f t="shared" si="5"/>
        <v>0</v>
      </c>
      <c r="J34" s="4">
        <f>ROUND(3397785.98,2)</f>
        <v>3397785.98</v>
      </c>
      <c r="K34" s="4">
        <f t="shared" si="13"/>
        <v>0</v>
      </c>
      <c r="L34" s="4">
        <f>ROUND(1489139.87,2)</f>
        <v>1489139.87</v>
      </c>
      <c r="M34" s="4">
        <f t="shared" si="14"/>
        <v>0</v>
      </c>
      <c r="N34" s="4">
        <f>ROUND(1908646.11,2)</f>
        <v>1908646.11</v>
      </c>
      <c r="O34" s="4">
        <f t="shared" si="15"/>
        <v>0</v>
      </c>
    </row>
    <row r="35" spans="1:15" ht="72.75">
      <c r="A35" s="2" t="s">
        <v>60</v>
      </c>
      <c r="B35" s="3" t="s">
        <v>14</v>
      </c>
      <c r="C35" s="3" t="s">
        <v>151</v>
      </c>
      <c r="D35" s="4">
        <f t="shared" si="10"/>
        <v>0</v>
      </c>
      <c r="E35" s="4">
        <f t="shared" si="8"/>
        <v>0</v>
      </c>
      <c r="F35" s="4">
        <f t="shared" si="11"/>
        <v>0</v>
      </c>
      <c r="G35" s="4">
        <f t="shared" si="9"/>
        <v>0</v>
      </c>
      <c r="H35" s="4">
        <f t="shared" si="12"/>
        <v>0</v>
      </c>
      <c r="I35" s="4">
        <f t="shared" si="5"/>
        <v>0</v>
      </c>
      <c r="J35" s="4">
        <f>ROUND(809066.71,2)</f>
        <v>809066.71</v>
      </c>
      <c r="K35" s="4">
        <f t="shared" si="13"/>
        <v>0</v>
      </c>
      <c r="L35" s="4">
        <f>ROUND(0,2)</f>
        <v>0</v>
      </c>
      <c r="M35" s="4">
        <f t="shared" si="14"/>
        <v>0</v>
      </c>
      <c r="N35" s="4">
        <f>ROUND(809066.71,2)</f>
        <v>809066.71</v>
      </c>
      <c r="O35" s="4">
        <f t="shared" si="15"/>
        <v>0</v>
      </c>
    </row>
    <row r="36" spans="1:15" ht="108.75">
      <c r="A36" s="2" t="s">
        <v>135</v>
      </c>
      <c r="B36" s="3" t="s">
        <v>93</v>
      </c>
      <c r="C36" s="3" t="s">
        <v>45</v>
      </c>
      <c r="D36" s="4">
        <f t="shared" si="10"/>
        <v>0</v>
      </c>
      <c r="E36" s="4">
        <f t="shared" si="8"/>
        <v>0</v>
      </c>
      <c r="F36" s="4">
        <f t="shared" si="11"/>
        <v>0</v>
      </c>
      <c r="G36" s="4">
        <f t="shared" si="9"/>
        <v>0</v>
      </c>
      <c r="H36" s="4">
        <f t="shared" si="12"/>
        <v>0</v>
      </c>
      <c r="I36" s="4">
        <f t="shared" si="5"/>
        <v>0</v>
      </c>
      <c r="J36" s="4">
        <f>ROUND(464999,2)</f>
        <v>464999</v>
      </c>
      <c r="K36" s="4">
        <f t="shared" si="13"/>
        <v>0</v>
      </c>
      <c r="L36" s="4">
        <f>ROUND(166500,2)</f>
        <v>166500</v>
      </c>
      <c r="M36" s="4">
        <f t="shared" si="14"/>
        <v>0</v>
      </c>
      <c r="N36" s="4">
        <f>ROUND(298499,2)</f>
        <v>298499</v>
      </c>
      <c r="O36" s="4">
        <f t="shared" si="15"/>
        <v>0</v>
      </c>
    </row>
    <row r="37" spans="1:15" ht="63.75">
      <c r="A37" s="2" t="s">
        <v>30</v>
      </c>
      <c r="B37" s="3" t="s">
        <v>113</v>
      </c>
      <c r="C37" s="3" t="s">
        <v>78</v>
      </c>
      <c r="D37" s="4">
        <f t="shared" si="10"/>
        <v>0</v>
      </c>
      <c r="E37" s="4">
        <f t="shared" si="8"/>
        <v>0</v>
      </c>
      <c r="F37" s="4">
        <f t="shared" si="11"/>
        <v>0</v>
      </c>
      <c r="G37" s="4">
        <f t="shared" si="9"/>
        <v>0</v>
      </c>
      <c r="H37" s="4">
        <f t="shared" si="12"/>
        <v>0</v>
      </c>
      <c r="I37" s="4">
        <f t="shared" si="5"/>
        <v>0</v>
      </c>
      <c r="J37" s="4">
        <f>ROUND(52094.62,2)</f>
        <v>52094.62</v>
      </c>
      <c r="K37" s="4">
        <f t="shared" si="13"/>
        <v>0</v>
      </c>
      <c r="L37" s="4">
        <f>ROUND(0,2)</f>
        <v>0</v>
      </c>
      <c r="M37" s="4">
        <f t="shared" si="14"/>
        <v>0</v>
      </c>
      <c r="N37" s="4">
        <f>ROUND(52094.62,2)</f>
        <v>52094.62</v>
      </c>
      <c r="O37" s="4">
        <f t="shared" si="15"/>
        <v>0</v>
      </c>
    </row>
    <row r="38" spans="1:15" ht="27.75">
      <c r="A38" s="2" t="s">
        <v>122</v>
      </c>
      <c r="B38" s="3" t="s">
        <v>46</v>
      </c>
      <c r="C38" s="3" t="s">
        <v>95</v>
      </c>
      <c r="D38" s="4">
        <f t="shared" si="10"/>
        <v>0</v>
      </c>
      <c r="E38" s="4">
        <f t="shared" si="8"/>
        <v>0</v>
      </c>
      <c r="F38" s="4">
        <f t="shared" si="11"/>
        <v>0</v>
      </c>
      <c r="G38" s="4">
        <f t="shared" si="9"/>
        <v>0</v>
      </c>
      <c r="H38" s="4">
        <f t="shared" si="12"/>
        <v>0</v>
      </c>
      <c r="I38" s="4">
        <f t="shared" si="5"/>
        <v>0</v>
      </c>
      <c r="J38" s="4">
        <f>ROUND(1130.1,2)</f>
        <v>1130.1</v>
      </c>
      <c r="K38" s="4">
        <f t="shared" si="13"/>
        <v>0</v>
      </c>
      <c r="L38" s="4">
        <f>ROUND(1130.1,2)</f>
        <v>1130.1</v>
      </c>
      <c r="M38" s="4">
        <f t="shared" si="14"/>
        <v>0</v>
      </c>
      <c r="N38" s="4">
        <f>ROUND(0,2)</f>
        <v>0</v>
      </c>
      <c r="O38" s="4">
        <f t="shared" si="15"/>
        <v>0</v>
      </c>
    </row>
    <row r="39" spans="1:15" ht="12.75">
      <c r="A39" s="2" t="s">
        <v>3</v>
      </c>
      <c r="B39" s="3" t="s">
        <v>132</v>
      </c>
      <c r="C39" s="3" t="s">
        <v>44</v>
      </c>
      <c r="D39" s="4">
        <f t="shared" si="10"/>
        <v>0</v>
      </c>
      <c r="E39" s="4">
        <f t="shared" si="8"/>
        <v>0</v>
      </c>
      <c r="F39" s="4">
        <f t="shared" si="11"/>
        <v>0</v>
      </c>
      <c r="G39" s="4">
        <f t="shared" si="9"/>
        <v>0</v>
      </c>
      <c r="H39" s="4">
        <f t="shared" si="12"/>
        <v>0</v>
      </c>
      <c r="I39" s="4">
        <f t="shared" si="5"/>
        <v>0</v>
      </c>
      <c r="J39" s="4">
        <f>ROUND(19661.83,2)</f>
        <v>19661.83</v>
      </c>
      <c r="K39" s="4">
        <f t="shared" si="13"/>
        <v>0</v>
      </c>
      <c r="L39" s="4">
        <f>ROUND(13777.16,2)</f>
        <v>13777.16</v>
      </c>
      <c r="M39" s="4">
        <f t="shared" si="14"/>
        <v>0</v>
      </c>
      <c r="N39" s="4">
        <f>ROUND(5884.67,2)</f>
        <v>5884.67</v>
      </c>
      <c r="O39" s="4">
        <f t="shared" si="15"/>
        <v>0</v>
      </c>
    </row>
    <row r="40" spans="1:15" ht="27.75">
      <c r="A40" s="2" t="s">
        <v>42</v>
      </c>
      <c r="B40" s="3" t="s">
        <v>134</v>
      </c>
      <c r="C40" s="3" t="s">
        <v>163</v>
      </c>
      <c r="D40" s="4">
        <f t="shared" si="10"/>
        <v>0</v>
      </c>
      <c r="E40" s="4">
        <f t="shared" si="8"/>
        <v>0</v>
      </c>
      <c r="F40" s="4">
        <f t="shared" si="11"/>
        <v>0</v>
      </c>
      <c r="G40" s="4">
        <f t="shared" si="9"/>
        <v>0</v>
      </c>
      <c r="H40" s="4">
        <f t="shared" si="12"/>
        <v>0</v>
      </c>
      <c r="I40" s="4">
        <f t="shared" si="5"/>
        <v>0</v>
      </c>
      <c r="J40" s="4">
        <f>ROUND(286138.05,2)</f>
        <v>286138.05</v>
      </c>
      <c r="K40" s="4">
        <f t="shared" si="13"/>
        <v>0</v>
      </c>
      <c r="L40" s="4">
        <f>ROUND(121055,2)</f>
        <v>121055</v>
      </c>
      <c r="M40" s="4">
        <f t="shared" si="14"/>
        <v>0</v>
      </c>
      <c r="N40" s="4">
        <f>ROUND(165083.05,2)</f>
        <v>165083.05</v>
      </c>
      <c r="O40" s="4">
        <f t="shared" si="15"/>
        <v>0</v>
      </c>
    </row>
    <row r="41" spans="1:15" ht="12.75">
      <c r="A41" s="2" t="s">
        <v>108</v>
      </c>
      <c r="B41" s="3" t="s">
        <v>100</v>
      </c>
      <c r="C41" s="3" t="s">
        <v>119</v>
      </c>
      <c r="D41" s="4">
        <f t="shared" si="10"/>
        <v>0</v>
      </c>
      <c r="E41" s="4">
        <f t="shared" si="8"/>
        <v>0</v>
      </c>
      <c r="F41" s="4">
        <f t="shared" si="11"/>
        <v>0</v>
      </c>
      <c r="G41" s="4">
        <f t="shared" si="9"/>
        <v>0</v>
      </c>
      <c r="H41" s="4">
        <f t="shared" si="12"/>
        <v>0</v>
      </c>
      <c r="I41" s="4">
        <f t="shared" si="5"/>
        <v>0</v>
      </c>
      <c r="J41" s="4">
        <f>ROUND(587772.44,2)</f>
        <v>587772.44</v>
      </c>
      <c r="K41" s="4">
        <f t="shared" si="13"/>
        <v>0</v>
      </c>
      <c r="L41" s="4">
        <f>ROUND(82698.7,2)</f>
        <v>82698.7</v>
      </c>
      <c r="M41" s="4">
        <f t="shared" si="14"/>
        <v>0</v>
      </c>
      <c r="N41" s="4">
        <f>ROUND(505073.74,2)</f>
        <v>505073.74</v>
      </c>
      <c r="O41" s="4">
        <f t="shared" si="15"/>
        <v>0</v>
      </c>
    </row>
    <row r="42" spans="1:15" ht="63.75">
      <c r="A42" s="2" t="s">
        <v>16</v>
      </c>
      <c r="B42" s="3" t="s">
        <v>2</v>
      </c>
      <c r="C42" s="3" t="s">
        <v>128</v>
      </c>
      <c r="D42" s="4">
        <f t="shared" si="10"/>
        <v>0</v>
      </c>
      <c r="E42" s="4">
        <f t="shared" si="8"/>
        <v>0</v>
      </c>
      <c r="F42" s="4">
        <f t="shared" si="11"/>
        <v>0</v>
      </c>
      <c r="G42" s="4">
        <f t="shared" si="9"/>
        <v>0</v>
      </c>
      <c r="H42" s="4">
        <f t="shared" si="12"/>
        <v>0</v>
      </c>
      <c r="I42" s="4">
        <f t="shared" si="5"/>
        <v>0</v>
      </c>
      <c r="J42" s="4">
        <f>ROUND(29567.41,2)</f>
        <v>29567.41</v>
      </c>
      <c r="K42" s="4">
        <f t="shared" si="13"/>
        <v>0</v>
      </c>
      <c r="L42" s="4">
        <f>ROUND(0,2)</f>
        <v>0</v>
      </c>
      <c r="M42" s="4">
        <f t="shared" si="14"/>
        <v>0</v>
      </c>
      <c r="N42" s="4">
        <f>ROUND(29567.41,2)</f>
        <v>29567.41</v>
      </c>
      <c r="O42" s="4">
        <f t="shared" si="15"/>
        <v>0</v>
      </c>
    </row>
    <row r="43" spans="1:15" ht="45.75">
      <c r="A43" s="2" t="s">
        <v>91</v>
      </c>
      <c r="B43" s="3" t="s">
        <v>165</v>
      </c>
      <c r="C43" s="3" t="s">
        <v>62</v>
      </c>
      <c r="D43" s="4">
        <f t="shared" si="10"/>
        <v>0</v>
      </c>
      <c r="E43" s="4">
        <f t="shared" si="8"/>
        <v>0</v>
      </c>
      <c r="F43" s="4">
        <f t="shared" si="11"/>
        <v>0</v>
      </c>
      <c r="G43" s="4">
        <f t="shared" si="9"/>
        <v>0</v>
      </c>
      <c r="H43" s="4">
        <f t="shared" si="12"/>
        <v>0</v>
      </c>
      <c r="I43" s="4">
        <f t="shared" si="5"/>
        <v>0</v>
      </c>
      <c r="J43" s="4">
        <f>ROUND(55625.58,2)</f>
        <v>55625.58</v>
      </c>
      <c r="K43" s="4">
        <f t="shared" si="13"/>
        <v>0</v>
      </c>
      <c r="L43" s="4">
        <f>ROUND(2293.04,2)</f>
        <v>2293.04</v>
      </c>
      <c r="M43" s="4">
        <f t="shared" si="14"/>
        <v>0</v>
      </c>
      <c r="N43" s="4">
        <f>ROUND(53332.54,2)</f>
        <v>53332.54</v>
      </c>
      <c r="O43" s="4">
        <f t="shared" si="15"/>
        <v>0</v>
      </c>
    </row>
    <row r="44" spans="1:15" ht="72.75">
      <c r="A44" s="2" t="s">
        <v>54</v>
      </c>
      <c r="B44" s="3" t="s">
        <v>118</v>
      </c>
      <c r="C44" s="3" t="s">
        <v>39</v>
      </c>
      <c r="D44" s="4">
        <f>ROUND(227800281.07,2)</f>
        <v>227800281.07</v>
      </c>
      <c r="E44" s="4">
        <f t="shared" si="8"/>
        <v>0</v>
      </c>
      <c r="F44" s="4">
        <f>ROUND(162916228.07,2)</f>
        <v>162916228.07</v>
      </c>
      <c r="G44" s="4">
        <f t="shared" si="9"/>
        <v>0</v>
      </c>
      <c r="H44" s="4">
        <f>ROUND(64884053,2)</f>
        <v>64884053</v>
      </c>
      <c r="I44" s="4">
        <f t="shared" si="5"/>
        <v>0</v>
      </c>
      <c r="J44" s="4">
        <f>ROUND(32113353.13,2)</f>
        <v>32113353.13</v>
      </c>
      <c r="K44" s="4">
        <f t="shared" si="13"/>
        <v>0</v>
      </c>
      <c r="L44" s="4">
        <f>ROUND(24304880.36,2)</f>
        <v>24304880.36</v>
      </c>
      <c r="M44" s="4">
        <f t="shared" si="14"/>
        <v>0</v>
      </c>
      <c r="N44" s="4">
        <f>ROUND(7808472.77,2)</f>
        <v>7808472.77</v>
      </c>
      <c r="O44" s="4">
        <f t="shared" si="15"/>
        <v>0</v>
      </c>
    </row>
    <row r="45" spans="1:15" ht="12.75">
      <c r="A45" s="2" t="s">
        <v>160</v>
      </c>
      <c r="B45" s="3" t="s">
        <v>155</v>
      </c>
      <c r="C45" s="3" t="s">
        <v>136</v>
      </c>
      <c r="D45" s="4">
        <f>ROUND(160892500,2)</f>
        <v>160892500</v>
      </c>
      <c r="E45" s="4">
        <f t="shared" si="8"/>
        <v>0</v>
      </c>
      <c r="F45" s="4">
        <f>ROUND(136230220,2)</f>
        <v>136230220</v>
      </c>
      <c r="G45" s="4">
        <f t="shared" si="9"/>
        <v>0</v>
      </c>
      <c r="H45" s="4">
        <f>ROUND(24662280,2)</f>
        <v>24662280</v>
      </c>
      <c r="I45" s="4">
        <f t="shared" si="5"/>
        <v>0</v>
      </c>
      <c r="J45" s="4">
        <f>ROUND(23953483.34,2)</f>
        <v>23953483.34</v>
      </c>
      <c r="K45" s="4">
        <f t="shared" si="13"/>
        <v>0</v>
      </c>
      <c r="L45" s="4">
        <f>ROUND(21079778.39,2)</f>
        <v>21079778.39</v>
      </c>
      <c r="M45" s="4">
        <f t="shared" si="14"/>
        <v>0</v>
      </c>
      <c r="N45" s="4">
        <f>ROUND(2873704.95,2)</f>
        <v>2873704.95</v>
      </c>
      <c r="O45" s="4">
        <f t="shared" si="15"/>
        <v>0</v>
      </c>
    </row>
    <row r="46" spans="1:15" ht="18.75">
      <c r="A46" s="2" t="s">
        <v>51</v>
      </c>
      <c r="B46" s="3" t="s">
        <v>10</v>
      </c>
      <c r="C46" s="3" t="s">
        <v>166</v>
      </c>
      <c r="D46" s="4">
        <f>ROUND(15476499,2)</f>
        <v>15476499</v>
      </c>
      <c r="E46" s="4">
        <f t="shared" si="8"/>
        <v>0</v>
      </c>
      <c r="F46" s="4">
        <f>ROUND(1724900,2)</f>
        <v>1724900</v>
      </c>
      <c r="G46" s="4">
        <f t="shared" si="9"/>
        <v>0</v>
      </c>
      <c r="H46" s="4">
        <f>ROUND(13751599,2)</f>
        <v>13751599</v>
      </c>
      <c r="I46" s="4">
        <f t="shared" si="5"/>
        <v>0</v>
      </c>
      <c r="J46" s="4">
        <f>ROUND(1869300.22,2)</f>
        <v>1869300.22</v>
      </c>
      <c r="K46" s="4">
        <f t="shared" si="13"/>
        <v>0</v>
      </c>
      <c r="L46" s="4">
        <f>ROUND(301612.76,2)</f>
        <v>301612.76</v>
      </c>
      <c r="M46" s="4">
        <f t="shared" si="14"/>
        <v>0</v>
      </c>
      <c r="N46" s="4">
        <f>ROUND(1567687.46,2)</f>
        <v>1567687.46</v>
      </c>
      <c r="O46" s="4">
        <f t="shared" si="15"/>
        <v>0</v>
      </c>
    </row>
    <row r="47" spans="1:15" ht="12.75">
      <c r="A47" s="2" t="s">
        <v>9</v>
      </c>
      <c r="B47" s="3" t="s">
        <v>167</v>
      </c>
      <c r="C47" s="3" t="s">
        <v>24</v>
      </c>
      <c r="D47" s="4">
        <f>ROUND(51431282.07,2)</f>
        <v>51431282.07</v>
      </c>
      <c r="E47" s="4">
        <f t="shared" si="8"/>
        <v>0</v>
      </c>
      <c r="F47" s="4">
        <f>ROUND(24961108.07,2)</f>
        <v>24961108.07</v>
      </c>
      <c r="G47" s="4">
        <f t="shared" si="9"/>
        <v>0</v>
      </c>
      <c r="H47" s="4">
        <f>ROUND(26470174,2)</f>
        <v>26470174</v>
      </c>
      <c r="I47" s="4">
        <f t="shared" si="5"/>
        <v>0</v>
      </c>
      <c r="J47" s="4">
        <f>ROUND(6290569.57,2)</f>
        <v>6290569.57</v>
      </c>
      <c r="K47" s="4">
        <f t="shared" si="13"/>
        <v>0</v>
      </c>
      <c r="L47" s="4">
        <f>ROUND(2923489.21,2)</f>
        <v>2923489.21</v>
      </c>
      <c r="M47" s="4">
        <f t="shared" si="14"/>
        <v>0</v>
      </c>
      <c r="N47" s="4">
        <f>ROUND(3367080.36,2)</f>
        <v>3367080.36</v>
      </c>
      <c r="O47" s="4">
        <f t="shared" si="15"/>
        <v>0</v>
      </c>
    </row>
    <row r="48" spans="1:15" ht="36.75">
      <c r="A48" s="2" t="s">
        <v>25</v>
      </c>
      <c r="B48" s="3" t="s">
        <v>103</v>
      </c>
      <c r="C48" s="3" t="s">
        <v>67</v>
      </c>
      <c r="D48" s="4">
        <f>ROUND(75284277.7,2)</f>
        <v>75284277.7</v>
      </c>
      <c r="E48" s="4">
        <f t="shared" si="8"/>
        <v>0</v>
      </c>
      <c r="F48" s="4">
        <f>ROUND(32245600.7,2)</f>
        <v>32245600.7</v>
      </c>
      <c r="G48" s="4">
        <f t="shared" si="9"/>
        <v>0</v>
      </c>
      <c r="H48" s="4">
        <f>ROUND(43038677,2)</f>
        <v>43038677</v>
      </c>
      <c r="I48" s="4">
        <f t="shared" si="5"/>
        <v>0</v>
      </c>
      <c r="J48" s="4">
        <f>ROUND(10734316.5,2)</f>
        <v>10734316.5</v>
      </c>
      <c r="K48" s="4">
        <f t="shared" si="13"/>
        <v>0</v>
      </c>
      <c r="L48" s="4">
        <f>ROUND(4445044.57,2)</f>
        <v>4445044.57</v>
      </c>
      <c r="M48" s="4">
        <f t="shared" si="14"/>
        <v>0</v>
      </c>
      <c r="N48" s="4">
        <f>ROUND(6289271.93,2)</f>
        <v>6289271.93</v>
      </c>
      <c r="O48" s="4">
        <f t="shared" si="15"/>
        <v>0</v>
      </c>
    </row>
    <row r="49" spans="1:15" ht="27.75">
      <c r="A49" s="2" t="s">
        <v>98</v>
      </c>
      <c r="B49" s="3" t="s">
        <v>50</v>
      </c>
      <c r="C49" s="3" t="s">
        <v>61</v>
      </c>
      <c r="D49" s="4">
        <f>ROUND(46280192.07,2)</f>
        <v>46280192.07</v>
      </c>
      <c r="E49" s="4">
        <f t="shared" si="8"/>
        <v>0</v>
      </c>
      <c r="F49" s="4">
        <f>ROUND(21970908.07,2)</f>
        <v>21970908.07</v>
      </c>
      <c r="G49" s="4">
        <f t="shared" si="9"/>
        <v>0</v>
      </c>
      <c r="H49" s="4">
        <f>ROUND(24309284,2)</f>
        <v>24309284</v>
      </c>
      <c r="I49" s="4">
        <f t="shared" si="5"/>
        <v>0</v>
      </c>
      <c r="J49" s="4">
        <f>ROUND(5747714.97,2)</f>
        <v>5747714.97</v>
      </c>
      <c r="K49" s="4">
        <f t="shared" si="13"/>
        <v>0</v>
      </c>
      <c r="L49" s="4">
        <f>ROUND(2632682.17,2)</f>
        <v>2632682.17</v>
      </c>
      <c r="M49" s="4">
        <f t="shared" si="14"/>
        <v>0</v>
      </c>
      <c r="N49" s="4">
        <f>ROUND(3115032.8,2)</f>
        <v>3115032.8</v>
      </c>
      <c r="O49" s="4">
        <f t="shared" si="15"/>
        <v>0</v>
      </c>
    </row>
    <row r="50" spans="1:15" ht="18.75">
      <c r="A50" s="2" t="s">
        <v>4</v>
      </c>
      <c r="B50" s="3"/>
      <c r="C50" s="3" t="s">
        <v>157</v>
      </c>
      <c r="D50" s="4">
        <f>ROUND(10066087.37,2)</f>
        <v>10066087.37</v>
      </c>
      <c r="E50" s="4">
        <f t="shared" si="8"/>
        <v>0</v>
      </c>
      <c r="F50" s="4">
        <f>ROUND(1403207.37,2)</f>
        <v>1403207.37</v>
      </c>
      <c r="G50" s="4">
        <f t="shared" si="9"/>
        <v>0</v>
      </c>
      <c r="H50" s="4">
        <f>ROUND(8662880,2)</f>
        <v>8662880</v>
      </c>
      <c r="I50" s="4">
        <f t="shared" si="5"/>
        <v>0</v>
      </c>
      <c r="J50" s="4">
        <f>ROUND(1461671.57,2)</f>
        <v>1461671.57</v>
      </c>
      <c r="K50" s="4">
        <f t="shared" si="13"/>
        <v>0</v>
      </c>
      <c r="L50" s="4">
        <f>ROUND(278038.3,2)</f>
        <v>278038.3</v>
      </c>
      <c r="M50" s="4">
        <f t="shared" si="14"/>
        <v>0</v>
      </c>
      <c r="N50" s="4">
        <f>ROUND(1183633.27,2)</f>
        <v>1183633.27</v>
      </c>
      <c r="O50" s="4">
        <f t="shared" si="15"/>
        <v>0</v>
      </c>
    </row>
    <row r="51" spans="1:15" ht="18.75">
      <c r="A51" s="2" t="s">
        <v>112</v>
      </c>
      <c r="B51" s="3"/>
      <c r="C51" s="3" t="s">
        <v>41</v>
      </c>
      <c r="D51" s="4">
        <f>ROUND(22551012.7,2)</f>
        <v>22551012.7</v>
      </c>
      <c r="E51" s="4">
        <f t="shared" si="8"/>
        <v>0</v>
      </c>
      <c r="F51" s="4">
        <f>ROUND(16217700.7,2)</f>
        <v>16217700.7</v>
      </c>
      <c r="G51" s="4">
        <f t="shared" si="9"/>
        <v>0</v>
      </c>
      <c r="H51" s="4">
        <f>ROUND(6333312,2)</f>
        <v>6333312</v>
      </c>
      <c r="I51" s="4">
        <f t="shared" si="5"/>
        <v>0</v>
      </c>
      <c r="J51" s="4">
        <f>ROUND(2596599.69,2)</f>
        <v>2596599.69</v>
      </c>
      <c r="K51" s="4">
        <f t="shared" si="13"/>
        <v>0</v>
      </c>
      <c r="L51" s="4">
        <f>ROUND(1613600.07,2)</f>
        <v>1613600.07</v>
      </c>
      <c r="M51" s="4">
        <f t="shared" si="14"/>
        <v>0</v>
      </c>
      <c r="N51" s="4">
        <f>ROUND(982999.62,2)</f>
        <v>982999.62</v>
      </c>
      <c r="O51" s="4">
        <f t="shared" si="15"/>
        <v>0</v>
      </c>
    </row>
    <row r="52" spans="1:15" ht="12.75">
      <c r="A52" s="2" t="s">
        <v>34</v>
      </c>
      <c r="B52" s="3"/>
      <c r="C52" s="3" t="s">
        <v>27</v>
      </c>
      <c r="D52" s="4">
        <f>ROUND(13663092,2)</f>
        <v>13663092</v>
      </c>
      <c r="E52" s="4">
        <f t="shared" si="8"/>
        <v>0</v>
      </c>
      <c r="F52" s="4">
        <f>ROUND(4350000,2)</f>
        <v>4350000</v>
      </c>
      <c r="G52" s="4">
        <f t="shared" si="9"/>
        <v>0</v>
      </c>
      <c r="H52" s="4">
        <f>ROUND(9313092,2)</f>
        <v>9313092</v>
      </c>
      <c r="I52" s="4">
        <f t="shared" si="5"/>
        <v>0</v>
      </c>
      <c r="J52" s="4">
        <f>ROUND(1689443.71,2)</f>
        <v>1689443.71</v>
      </c>
      <c r="K52" s="4">
        <f t="shared" si="13"/>
        <v>0</v>
      </c>
      <c r="L52" s="4">
        <f>ROUND(741043.8,2)</f>
        <v>741043.8</v>
      </c>
      <c r="M52" s="4">
        <f t="shared" si="14"/>
        <v>0</v>
      </c>
      <c r="N52" s="4">
        <f>ROUND(948399.91,2)</f>
        <v>948399.91</v>
      </c>
      <c r="O52" s="4">
        <f t="shared" si="15"/>
        <v>0</v>
      </c>
    </row>
    <row r="53" spans="1:15" ht="27.75">
      <c r="A53" s="2" t="s">
        <v>87</v>
      </c>
      <c r="B53" s="3" t="s">
        <v>129</v>
      </c>
      <c r="C53" s="3" t="s">
        <v>55</v>
      </c>
      <c r="D53" s="4">
        <f>ROUND(14230531.63,2)</f>
        <v>14230531.63</v>
      </c>
      <c r="E53" s="4">
        <f t="shared" si="8"/>
        <v>0</v>
      </c>
      <c r="F53" s="4">
        <f>ROUND(6859992.63,2)</f>
        <v>6859992.63</v>
      </c>
      <c r="G53" s="4">
        <f t="shared" si="9"/>
        <v>0</v>
      </c>
      <c r="H53" s="4">
        <f>ROUND(7370539,2)</f>
        <v>7370539</v>
      </c>
      <c r="I53" s="4">
        <f t="shared" si="5"/>
        <v>0</v>
      </c>
      <c r="J53" s="4">
        <f>ROUND(1507496.31,2)</f>
        <v>1507496.31</v>
      </c>
      <c r="K53" s="4">
        <f t="shared" si="13"/>
        <v>0</v>
      </c>
      <c r="L53" s="4">
        <f>ROUND(627207.08,2)</f>
        <v>627207.08</v>
      </c>
      <c r="M53" s="4">
        <f t="shared" si="14"/>
        <v>0</v>
      </c>
      <c r="N53" s="4">
        <f>ROUND(880289.23,2)</f>
        <v>880289.23</v>
      </c>
      <c r="O53" s="4">
        <f t="shared" si="15"/>
        <v>0</v>
      </c>
    </row>
    <row r="54" spans="1:15" ht="18.75">
      <c r="A54" s="2" t="s">
        <v>19</v>
      </c>
      <c r="B54" s="3"/>
      <c r="C54" s="3" t="s">
        <v>157</v>
      </c>
      <c r="D54" s="4">
        <f>ROUND(3006147.63,2)</f>
        <v>3006147.63</v>
      </c>
      <c r="E54" s="4">
        <f t="shared" si="8"/>
        <v>0</v>
      </c>
      <c r="F54" s="4">
        <f>ROUND(426792.63,2)</f>
        <v>426792.63</v>
      </c>
      <c r="G54" s="4">
        <f t="shared" si="9"/>
        <v>0</v>
      </c>
      <c r="H54" s="4">
        <f>ROUND(2579355,2)</f>
        <v>2579355</v>
      </c>
      <c r="I54" s="4">
        <f t="shared" si="5"/>
        <v>0</v>
      </c>
      <c r="J54" s="4">
        <f>ROUND(316701.04,2)</f>
        <v>316701.04</v>
      </c>
      <c r="K54" s="4">
        <f t="shared" si="13"/>
        <v>0</v>
      </c>
      <c r="L54" s="4">
        <f>ROUND(0,2)</f>
        <v>0</v>
      </c>
      <c r="M54" s="4">
        <f t="shared" si="14"/>
        <v>0</v>
      </c>
      <c r="N54" s="4">
        <f>ROUND(316701.04,2)</f>
        <v>316701.04</v>
      </c>
      <c r="O54" s="4">
        <f t="shared" si="15"/>
        <v>0</v>
      </c>
    </row>
    <row r="55" spans="1:15" ht="18.75">
      <c r="A55" s="2" t="s">
        <v>90</v>
      </c>
      <c r="B55" s="3"/>
      <c r="C55" s="3" t="s">
        <v>41</v>
      </c>
      <c r="D55" s="4">
        <f>ROUND(7003749,2)</f>
        <v>7003749</v>
      </c>
      <c r="E55" s="4">
        <f t="shared" si="8"/>
        <v>0</v>
      </c>
      <c r="F55" s="4">
        <f>ROUND(5111200,2)</f>
        <v>5111200</v>
      </c>
      <c r="G55" s="4">
        <f t="shared" si="9"/>
        <v>0</v>
      </c>
      <c r="H55" s="4">
        <f>ROUND(1892549,2)</f>
        <v>1892549</v>
      </c>
      <c r="I55" s="4">
        <f t="shared" si="5"/>
        <v>0</v>
      </c>
      <c r="J55" s="4">
        <f>ROUND(580324.89,2)</f>
        <v>580324.89</v>
      </c>
      <c r="K55" s="4">
        <f t="shared" si="13"/>
        <v>0</v>
      </c>
      <c r="L55" s="4">
        <f>ROUND(326251.53,2)</f>
        <v>326251.53</v>
      </c>
      <c r="M55" s="4">
        <f t="shared" si="14"/>
        <v>0</v>
      </c>
      <c r="N55" s="4">
        <f>ROUND(254073.36,2)</f>
        <v>254073.36</v>
      </c>
      <c r="O55" s="4">
        <f t="shared" si="15"/>
        <v>0</v>
      </c>
    </row>
    <row r="56" spans="1:15" ht="12.75">
      <c r="A56" s="2" t="s">
        <v>15</v>
      </c>
      <c r="B56" s="3"/>
      <c r="C56" s="3" t="s">
        <v>27</v>
      </c>
      <c r="D56" s="4">
        <f>ROUND(4220635,2)</f>
        <v>4220635</v>
      </c>
      <c r="E56" s="4">
        <f t="shared" si="8"/>
        <v>0</v>
      </c>
      <c r="F56" s="4">
        <f>ROUND(1322000,2)</f>
        <v>1322000</v>
      </c>
      <c r="G56" s="4">
        <f t="shared" si="9"/>
        <v>0</v>
      </c>
      <c r="H56" s="4">
        <f>ROUND(2898635,2)</f>
        <v>2898635</v>
      </c>
      <c r="I56" s="4">
        <f t="shared" si="5"/>
        <v>0</v>
      </c>
      <c r="J56" s="4">
        <f>ROUND(610470.38,2)</f>
        <v>610470.38</v>
      </c>
      <c r="K56" s="4">
        <f t="shared" si="13"/>
        <v>0</v>
      </c>
      <c r="L56" s="4">
        <f>ROUND(300955.55,2)</f>
        <v>300955.55</v>
      </c>
      <c r="M56" s="4">
        <f t="shared" si="14"/>
        <v>0</v>
      </c>
      <c r="N56" s="4">
        <f>ROUND(309514.83,2)</f>
        <v>309514.83</v>
      </c>
      <c r="O56" s="4">
        <f t="shared" si="15"/>
        <v>0</v>
      </c>
    </row>
    <row r="57" spans="14:15" ht="12.75">
      <c r="N57" s="6"/>
      <c r="O57" s="6"/>
    </row>
    <row r="58" spans="3:15" ht="12.75" customHeight="1">
      <c r="C58" s="9" t="s">
        <v>168</v>
      </c>
      <c r="D58" s="10"/>
      <c r="H58" t="s">
        <v>169</v>
      </c>
      <c r="N58" s="6"/>
      <c r="O58" s="6"/>
    </row>
    <row r="59" spans="3:15" ht="12.75">
      <c r="C59" s="11"/>
      <c r="N59" s="6"/>
      <c r="O59" s="6"/>
    </row>
    <row r="60" spans="3:15" ht="12.75" customHeight="1">
      <c r="C60" s="9" t="s">
        <v>170</v>
      </c>
      <c r="D60" s="10"/>
      <c r="H60" t="s">
        <v>171</v>
      </c>
      <c r="N60" s="6"/>
      <c r="O60" s="6"/>
    </row>
  </sheetData>
  <mergeCells count="24">
    <mergeCell ref="C58:D58"/>
    <mergeCell ref="C60:D60"/>
    <mergeCell ref="N57:O57"/>
    <mergeCell ref="N58:O58"/>
    <mergeCell ref="N59:O59"/>
    <mergeCell ref="N60:O60"/>
    <mergeCell ref="N1:O1"/>
    <mergeCell ref="N2:O2"/>
    <mergeCell ref="N3:O3"/>
    <mergeCell ref="I1:K1"/>
    <mergeCell ref="I2:K2"/>
    <mergeCell ref="I3:K3"/>
    <mergeCell ref="L1:M1"/>
    <mergeCell ref="L2:M2"/>
    <mergeCell ref="L3:M3"/>
    <mergeCell ref="G1:H1"/>
    <mergeCell ref="G2:H2"/>
    <mergeCell ref="G3:H3"/>
    <mergeCell ref="A1:B1"/>
    <mergeCell ref="A2:B2"/>
    <mergeCell ref="A3:B3"/>
    <mergeCell ref="C1:F1"/>
    <mergeCell ref="C2:F2"/>
    <mergeCell ref="C3:F3"/>
  </mergeCells>
  <printOptions gridLines="1"/>
  <pageMargins left="0.75" right="0.75" top="0.4166666666666667" bottom="0.4166666666666667" header="0.1388888888888889" footer="0.4166666666666667"/>
  <pageSetup horizontalDpi="600" verticalDpi="600" orientation="portrait" paperSize="9" scale="51" r:id="rId1"/>
  <headerFooter alignWithMargins="0">
    <oddHeader>&amp;RСтраница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buh1</cp:lastModifiedBy>
  <dcterms:created xsi:type="dcterms:W3CDTF">2012-03-13T07:57:27Z</dcterms:created>
  <dcterms:modified xsi:type="dcterms:W3CDTF">2012-03-13T07:57:27Z</dcterms:modified>
  <cp:category/>
  <cp:version/>
  <cp:contentType/>
  <cp:contentStatus/>
</cp:coreProperties>
</file>