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<sst xmlns="http://schemas.openxmlformats.org/spreadsheetml/2006/main" count="412" uniqueCount="409">
  <si>
    <t>1,867</t>
  </si>
  <si>
    <t>ВСЕГО по Новохоперскому району</t>
  </si>
  <si>
    <t>Доходы     от    продажи    земельных    участков,                              государственная  собственность  на   которые не  разграничена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</si>
  <si>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</si>
  <si>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000  2  02  04012  05  0000  151</t>
  </si>
  <si>
    <t>000  1  05  02010  02  0000  110</t>
  </si>
  <si>
    <t>1,1485</t>
  </si>
  <si>
    <t>Дотации на выравнивание бюджетной обеспеченности</t>
  </si>
  <si>
    <t>000  1  06  06000  00  0000  110</t>
  </si>
  <si>
    <t>Иные межбюджетные трансферты</t>
  </si>
  <si>
    <t>Единый сельскохозяйственный налог</t>
  </si>
  <si>
    <t>16  16 Муниципальные районы Исполнено</t>
  </si>
  <si>
    <t>1,122</t>
  </si>
  <si>
    <t>Прочие безвозмездные поступления в бюджеты муниципальных районов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</si>
  <si>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</si>
  <si>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000  1  13  00000  00  0000  000</t>
  </si>
  <si>
    <t>000  1  08  04020  01  0000  110</t>
  </si>
  <si>
    <t>000  1  13  01995  10  0000  130</t>
  </si>
  <si>
    <t>ДОХОДЫ ОТ ПРОДАЖИ МАТЕРИАЛЬНЫХ И НЕМАТЕРИАЛЬНЫХ АКТИВОВ</t>
  </si>
  <si>
    <t>000  2  02  01001  05  0000  151</t>
  </si>
  <si>
    <t>000  2  19  00000  00  0000  000</t>
  </si>
  <si>
    <t>ПРОЧИЕ НЕНАЛОГОВЫЕ ДОХОДЫ</t>
  </si>
  <si>
    <t>1,2105</t>
  </si>
  <si>
    <t>Прочие субсидии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</si>
  <si>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</si>
  <si>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000  1  16  06000  01  0000  140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</si>
  <si>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</si>
  <si>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</si>
  <si>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1,103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</si>
  <si>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</si>
  <si>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000  2  02  04012  00  0000  151</t>
  </si>
  <si>
    <t>000  1  17  05000  00  0000  180</t>
  </si>
  <si>
    <t>1,99</t>
  </si>
  <si>
    <t>000  1  12  01010  01  0000  120</t>
  </si>
  <si>
    <t>1,577</t>
  </si>
  <si>
    <t>12  12 Консолидированный Исполнено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</si>
  <si>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</si>
  <si>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1,848</t>
  </si>
  <si>
    <t>1,663</t>
  </si>
  <si>
    <t>Дотации бюджетам на поддержку мер по обеспечению сбалансированности бюджетов</t>
  </si>
  <si>
    <t>1,846</t>
  </si>
  <si>
    <t>ГОСУДАРСТВЕННАЯ ПОШЛИНА</t>
  </si>
  <si>
    <t>000  1  16  28000  01  0000  140</t>
  </si>
  <si>
    <t>000  1  09  06000  02  0000  110</t>
  </si>
  <si>
    <t>1,940</t>
  </si>
  <si>
    <t>1,97</t>
  </si>
  <si>
    <t>000  1  17  05050  10  0000  180</t>
  </si>
  <si>
    <t>1,1481</t>
  </si>
  <si>
    <t>1,19</t>
  </si>
  <si>
    <t>000  2  02  01001  00  0000  151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</si>
  <si>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</si>
  <si>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000  1  16  90050  05  0000  140</t>
  </si>
  <si>
    <t>000  1  00  00000  00  0000  000</t>
  </si>
  <si>
    <t>1,126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</si>
  <si>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</si>
  <si>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1,17</t>
  </si>
  <si>
    <t>1,723</t>
  </si>
  <si>
    <t>НАЛОГИ НА СОВОКУПНЫЙ ДОХОД</t>
  </si>
  <si>
    <t>000  1  01  02000  01  0000  110</t>
  </si>
  <si>
    <t>000  2  02  02000  00  0000  151</t>
  </si>
  <si>
    <t>000  1  16  25060  01  0000  140</t>
  </si>
  <si>
    <t>1,946</t>
  </si>
  <si>
    <t>17  17 Городские и сельские поселения Исполнено</t>
  </si>
  <si>
    <t>7  7 Муниципальные районы План на год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</si>
  <si>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</si>
  <si>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000  2  02  03024  05  0000  151</t>
  </si>
  <si>
    <t>000  2  02  03021  00  0000  151</t>
  </si>
  <si>
    <t>000  1  05  03020  01  0000  110</t>
  </si>
  <si>
    <t>1,1487</t>
  </si>
  <si>
    <t>Прочие субсидии бюджетам поселений</t>
  </si>
  <si>
    <t>Прочие неналоговые доходы бюджетов муниципальных районов</t>
  </si>
  <si>
    <t>1,963</t>
  </si>
  <si>
    <t>000  2  02  03015  00  0000  151</t>
  </si>
  <si>
    <t>1,2166</t>
  </si>
  <si>
    <t>Субсидии бюджетам субъектов Российской Федерации и муниципальных образований (межбюджетные субсидии)</t>
  </si>
  <si>
    <t>Плата за выбросы загрязняющих веществ в атмосферный воздух передвижными объектами</t>
  </si>
  <si>
    <t>000  2  02  04000  00  0000  151</t>
  </si>
  <si>
    <t>1,1468</t>
  </si>
  <si>
    <t>№ листа / № строки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</si>
  <si>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</si>
  <si>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1,929</t>
  </si>
  <si>
    <t>Прочие субвенции</t>
  </si>
  <si>
    <t>Прочие неналоговые доходы бюджетов поселений</t>
  </si>
  <si>
    <t>000  1  06  06013  10  0000  110</t>
  </si>
  <si>
    <t>000  2  02  00000  00  0000  000</t>
  </si>
  <si>
    <t>1,433</t>
  </si>
  <si>
    <t>Плата за сбросы загрязняющих веществ в водные объекты</t>
  </si>
  <si>
    <t>000  2  02  03024  00  0000  151</t>
  </si>
  <si>
    <t>1,1037</t>
  </si>
  <si>
    <t>1,498</t>
  </si>
  <si>
    <t>Налог на имущество физических лиц</t>
  </si>
  <si>
    <t>000  1  08  00000  00  0000  000</t>
  </si>
  <si>
    <t>Субвенции местным бюджетам на выполнение передаваемых полномочий субъектов Российской Федерации</t>
  </si>
  <si>
    <t>000  2  02  03021  05  0000  151</t>
  </si>
  <si>
    <t>1,101</t>
  </si>
  <si>
    <t>1,1039</t>
  </si>
  <si>
    <t>1,215</t>
  </si>
  <si>
    <t>000  1  14  02053  10  0000  410</t>
  </si>
  <si>
    <t>1,1386</t>
  </si>
  <si>
    <t>Государственная пошлина по делам, рассматриваемым в судах общей юрисдикции, мировыми судьями</t>
  </si>
  <si>
    <t>1,661</t>
  </si>
  <si>
    <t>Налог с продаж</t>
  </si>
  <si>
    <t>000  1  16  00000  00  0000  000</t>
  </si>
  <si>
    <t>000  1  06  06010  00  0000  110</t>
  </si>
  <si>
    <t>Плата за размещение отходов производства и потребления</t>
  </si>
  <si>
    <t>000  1  05  02000  02  0000  110</t>
  </si>
  <si>
    <t>000  2  19  05000  05  0000  151</t>
  </si>
  <si>
    <t>000  1  16  25000  00  0000  140</t>
  </si>
  <si>
    <t>1,1044</t>
  </si>
  <si>
    <t>1,546</t>
  </si>
  <si>
    <t>1,268</t>
  </si>
  <si>
    <t>000  1  06  01030  10  0000  110</t>
  </si>
  <si>
    <t>1,117</t>
  </si>
  <si>
    <t>000  2  02  03026  05  0000  151</t>
  </si>
  <si>
    <t>000  2  02  02999  10  0000  151</t>
  </si>
  <si>
    <t>000  1  06  01000  00  0000  110</t>
  </si>
  <si>
    <t>1,771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</si>
  <si>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</si>
  <si>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1,1513</t>
  </si>
  <si>
    <t>1,1061</t>
  </si>
  <si>
    <t>ЗАДОЛЖЕННОСТЬ И ПЕРЕРАСЧЕТЫ ПО ОТМЕНЕННЫМ НАЛОГАМ, СБОРАМ И ИНЫМ ОБЯЗАТЕЛЬНЫМ ПЛАТЕЖАМ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</si>
  <si>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</si>
  <si>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4  4 Суммы, подлежащие исключению Консолид. План на год</t>
  </si>
  <si>
    <t>1,852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</si>
  <si>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</si>
  <si>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</si>
  <si>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Денежные взыскания (штрафы) за нарушение земельного законодательства</t>
  </si>
  <si>
    <t>000  2  07  00000  00  0000  180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</si>
  <si>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</si>
  <si>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</si>
  <si>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ОКАЗАНИЯ ПЛАТНЫХ УСЛУГ (РАБОТ) И КОМПЕНСАЦИИ ЗАТРАТ ГОСУДАРСТВА</t>
  </si>
  <si>
    <t>000  1  12  01000  01  0000  120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</si>
  <si>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</si>
  <si>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8  8 Городские и сельские поселения План на год</t>
  </si>
  <si>
    <t>1,249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</si>
  <si>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</si>
  <si>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000  1  09  01030  05  0000  110</t>
  </si>
  <si>
    <t>1,153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</si>
  <si>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</si>
  <si>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000  1  09  06010  02  0000  110</t>
  </si>
  <si>
    <t>000  1  14  02000  00  0000  000</t>
  </si>
  <si>
    <t>1,404</t>
  </si>
  <si>
    <t>Денежные взыскания (штрафы) за нарушение законодательства Российской Федерации о недрах</t>
  </si>
  <si>
    <t>000  2  02  03026  00  0000  151</t>
  </si>
  <si>
    <t>000  1  14  02050  05  0000  410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</si>
  <si>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</si>
  <si>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000  1  05  00000  00  0000  000</t>
  </si>
  <si>
    <t>1,502</t>
  </si>
  <si>
    <t>Дотации бюджетам муниципальных районов на выравнивание бюджетной обеспеченности</t>
  </si>
  <si>
    <t>Прочие доходы от оказания платных услуг (работ)</t>
  </si>
  <si>
    <t>1,990</t>
  </si>
  <si>
    <t>Единый налог на вмененный доход для отдельных видов деятельности (за налоговые периоды, истекшие до 1 января 2011 года)</t>
  </si>
  <si>
    <t>Земельный налог (по обязательствам, возникшим до        1 января 2006 года), мобилизуемый на территориях поселений</t>
  </si>
  <si>
    <t>Единый налог на вмененный доход для отдельных видов деятельности</t>
  </si>
  <si>
    <t>Невыясненные поступления, зачисляемые в бюджеты муниципальных районов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</si>
  <si>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</si>
  <si>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000  1  14  06020  00  0000  430</t>
  </si>
  <si>
    <t>000  1  01  02010  01  0000  110</t>
  </si>
  <si>
    <t>000  2  02  03029  00  0000  151</t>
  </si>
  <si>
    <t>000  1  11  05035  05  0000  120</t>
  </si>
  <si>
    <t>000  1  14  06025  05  0000  430</t>
  </si>
  <si>
    <t>1,2</t>
  </si>
  <si>
    <t>000  2  02  04025  10  0000  151</t>
  </si>
  <si>
    <t>000  2  02  01999  00  0000  151</t>
  </si>
  <si>
    <t>000  1  11  05030  00  0000  120</t>
  </si>
  <si>
    <t>1,958</t>
  </si>
  <si>
    <t>Прочие доходы от оказания платных услуг (работ) получателями средств бюджетов муниципальных районов</t>
  </si>
  <si>
    <t>1,1511</t>
  </si>
  <si>
    <t>1,1392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</si>
  <si>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</si>
  <si>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</si>
  <si>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000  1  06  00000  00  0000  000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</si>
  <si>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</si>
  <si>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000  2  02  01003  05  0000  151</t>
  </si>
  <si>
    <t>000  1  16  25010  01  0000  140</t>
  </si>
  <si>
    <t>Земельный налог (по обязательствам, возникшим до 1 января 2006 года)</t>
  </si>
  <si>
    <t>Налоги на имущество</t>
  </si>
  <si>
    <t>1,1497</t>
  </si>
  <si>
    <t>1,716</t>
  </si>
  <si>
    <t>Субвенции бюджетам муниципальных образований на ежемесячное денежное вознаграждение за классное руководство</t>
  </si>
  <si>
    <t>000  1  17  01050  05  0000  180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</si>
  <si>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</si>
  <si>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000  2  07  05000  10  0000  180</t>
  </si>
  <si>
    <t>000  2  02  04014  10  0000  151</t>
  </si>
  <si>
    <t>БЕЗВОЗМЕЗДНЫЕ ПОСТУПЛЕНИЯ</t>
  </si>
  <si>
    <t>000  2  02  03029  05  0000  151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</si>
  <si>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</si>
  <si>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</si>
  <si>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1,712</t>
  </si>
  <si>
    <t>1,500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</si>
  <si>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</si>
  <si>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000  2  02  01003  00  0000  151</t>
  </si>
  <si>
    <t>Прочие дотации</t>
  </si>
  <si>
    <t>000  2  02  03000  00  0000  151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</si>
  <si>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</si>
  <si>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000  1  09  04000  00  0000  110</t>
  </si>
  <si>
    <t>Субвенции бюджетам муниципальных районов на ежемесячное денежное вознаграждение за классное руководство</t>
  </si>
  <si>
    <t>Дотации бюджетам поселений на выравнивание бюджетной обеспеченности</t>
  </si>
  <si>
    <t>1,20</t>
  </si>
  <si>
    <t>1,1749</t>
  </si>
  <si>
    <t>1,1067</t>
  </si>
  <si>
    <t>3  3 Консолидированный  План на год</t>
  </si>
  <si>
    <t>000  1  09  04053  10  0000  110</t>
  </si>
  <si>
    <t>1,941</t>
  </si>
  <si>
    <t>1,218</t>
  </si>
  <si>
    <t>Ед. измерения: документа -  руб.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</si>
  <si>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</si>
  <si>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1,847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</si>
  <si>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</si>
  <si>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1,1508</t>
  </si>
  <si>
    <t>1,578</t>
  </si>
  <si>
    <t>000  2  02  03999  05  0000  151</t>
  </si>
  <si>
    <t>1,258</t>
  </si>
  <si>
    <t>ШТРАФЫ, САНКЦИИ, ВОЗМЕЩЕНИЕ УЩЕРБА</t>
  </si>
  <si>
    <t>000  1  05  02020  02  0000  110</t>
  </si>
  <si>
    <t>1,849</t>
  </si>
  <si>
    <t>1,102</t>
  </si>
  <si>
    <t>000  1  16  90000  00  0000  140</t>
  </si>
  <si>
    <t>1,764</t>
  </si>
  <si>
    <t>1,98</t>
  </si>
  <si>
    <t>Налог на доходы физических лиц</t>
  </si>
  <si>
    <t>1,16</t>
  </si>
  <si>
    <t>000  2  02  01000  00  0000  151</t>
  </si>
  <si>
    <t>000  1  08  03000  01  0000  110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</si>
  <si>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</si>
  <si>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000  1  17  05050  05  0000  180</t>
  </si>
  <si>
    <t>1,1692</t>
  </si>
  <si>
    <t>1,964</t>
  </si>
  <si>
    <t>Невыясненные поступления</t>
  </si>
  <si>
    <t>1,18</t>
  </si>
  <si>
    <t>ПЛАТЕЖИ ПРИ ПОЛЬЗОВАНИИ ПРИРОДНЫМИ РЕСУРСАМИ</t>
  </si>
  <si>
    <t>000  1  14  06013  10  0000  430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</si>
  <si>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</si>
  <si>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000  2  02  03999  00  0000  151</t>
  </si>
  <si>
    <t>000  1  17  00000  00  0000  000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</si>
  <si>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</si>
  <si>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000  1  12  01020  01  0000  120</t>
  </si>
  <si>
    <t>Наименование показателя</t>
  </si>
  <si>
    <t>Дотации бюджетам муниципальных районов на поддержку мер по обеспечению сбалансированности бюджетов</t>
  </si>
  <si>
    <t>1,108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</si>
  <si>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</si>
  <si>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1,2104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</si>
  <si>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</si>
  <si>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</si>
  <si>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Доходы бюджета - Всего</t>
  </si>
  <si>
    <t>000  1  13  01990  00  0000  130</t>
  </si>
  <si>
    <t>1,434</t>
  </si>
  <si>
    <t>1,148</t>
  </si>
  <si>
    <t>000  1  13  01995  05  0000  130</t>
  </si>
  <si>
    <t>1,572</t>
  </si>
  <si>
    <t>000  1  12  01040  01  0000  120</t>
  </si>
  <si>
    <t>000  2  02  01001  10  0000  151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</si>
  <si>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</si>
  <si>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</si>
  <si>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000  1  11  05010  00  0000  120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</si>
  <si>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</si>
  <si>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</si>
  <si>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</si>
  <si>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000  1  14  06000  00  0000  430</t>
  </si>
  <si>
    <t>000  1  01  02030  01  0000  110</t>
  </si>
  <si>
    <t>1,1521</t>
  </si>
  <si>
    <t>000  1  16  25050  01  0000  140</t>
  </si>
  <si>
    <t>000  1  14  00000  00  0000  000</t>
  </si>
  <si>
    <t>000  1  05  03010  01  0000  110</t>
  </si>
  <si>
    <t>Прочие безвозмездные поступления в бюджеты поселений</t>
  </si>
  <si>
    <t>Дотации бюджетам субъектов Российской Федерации и муниципальных образований</t>
  </si>
  <si>
    <t>000  2  02  03015  10  0000  151</t>
  </si>
  <si>
    <t>1,100</t>
  </si>
  <si>
    <t>000  1  14  02053  05  0000  410</t>
  </si>
  <si>
    <t>000  1  13  01000  00  0000  130</t>
  </si>
  <si>
    <t>1,1038</t>
  </si>
  <si>
    <t>1,497</t>
  </si>
  <si>
    <t>1,214</t>
  </si>
  <si>
    <t>МЕСЯЧНЫЙ ОТЧЕТ ОБ ИСПОЛНЕНИИ БЮДЖЕТА</t>
  </si>
  <si>
    <t>Субвенции бюджетам муниципальных районов на выполнение передаваемых полномочий субъектов Российской Федерации</t>
  </si>
  <si>
    <t>1,499</t>
  </si>
  <si>
    <t>Доходы от оказания платных услуг (работ)</t>
  </si>
  <si>
    <t>000  2  02  03020  05  0000  151</t>
  </si>
  <si>
    <t>1,352</t>
  </si>
  <si>
    <t>000  1  16  25030  01  0000  140</t>
  </si>
  <si>
    <t>000  8  50  00000  00  0000  000</t>
  </si>
  <si>
    <t>1,254</t>
  </si>
  <si>
    <t>1,1500</t>
  </si>
  <si>
    <t>000  1  06  06023  10  0000  110</t>
  </si>
  <si>
    <t>1,104</t>
  </si>
  <si>
    <t>Плата за негативное воздействие на окружающую среду</t>
  </si>
  <si>
    <t>1,947</t>
  </si>
  <si>
    <t>1,722</t>
  </si>
  <si>
    <t>13  13 Суммы, подлежащие исключению Консолид. Исполнено</t>
  </si>
  <si>
    <t>Плата за выбросы загрязняющих веществ в атмосферный воздух стационарными объектами</t>
  </si>
  <si>
    <t>1,1694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</si>
  <si>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</si>
  <si>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1,1463</t>
  </si>
  <si>
    <t xml:space="preserve"> </t>
  </si>
  <si>
    <t>000  2  02  03020  00  0000  151</t>
  </si>
  <si>
    <t>1,121</t>
  </si>
  <si>
    <t>000  1  08  04000  01  0000  110</t>
  </si>
  <si>
    <t>000  1  09  01000  00  0000  110</t>
  </si>
  <si>
    <t>1,1744</t>
  </si>
  <si>
    <t>1,1518</t>
  </si>
  <si>
    <t>000  1  06  06020  00  0000  110</t>
  </si>
  <si>
    <t>1,1516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</si>
  <si>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</si>
  <si>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</si>
  <si>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000  2  02  03027  00  0000  151</t>
  </si>
  <si>
    <t>000  1  08  03010  01  0000  110</t>
  </si>
  <si>
    <t>1,934</t>
  </si>
  <si>
    <t>Налог на прибыль организаций, зачислявшийся до 1 января 2005 года в местные бюджеты</t>
  </si>
  <si>
    <t>000  1  01  00000  00  0000  000</t>
  </si>
  <si>
    <t>1,657</t>
  </si>
  <si>
    <t>1,619</t>
  </si>
  <si>
    <t>1,1721</t>
  </si>
  <si>
    <t>000  2  02  02999  00  0000  151</t>
  </si>
  <si>
    <t>000  1  14  02050  10  0000  410</t>
  </si>
  <si>
    <t>1,503</t>
  </si>
  <si>
    <t>Плата за иные виды негативного воздействия на окружающую среду</t>
  </si>
  <si>
    <t>1,405</t>
  </si>
  <si>
    <t>1,1490</t>
  </si>
  <si>
    <t>1,711</t>
  </si>
  <si>
    <t>Единый сельскохозяйственный налог (за налоговые периоды, истекшие до 1 января 2011 года)</t>
  </si>
  <si>
    <t>Денежные взыскания (штрафы) за нарушение законодательства о налогах и сборах</t>
  </si>
  <si>
    <t>1,1045</t>
  </si>
  <si>
    <t>1,2171</t>
  </si>
  <si>
    <t>1,1725</t>
  </si>
  <si>
    <t>1,1688</t>
  </si>
  <si>
    <t>БЕЗВОЗМЕЗДНЫЕ ПОСТУПЛЕНИЯ ОТ ДРУГИХ БЮДЖЕТОВ БЮДЖЕТНОЙ СИСТЕМЫ РОССИЙСКОЙ ФЕДЕРАЦИИ</t>
  </si>
  <si>
    <t>000  1  12  00000  00  0000  000</t>
  </si>
  <si>
    <t>Прочие поступления от денежных взысканий (штрафов) и иных сумм в возмещение ущерба</t>
  </si>
  <si>
    <t>ДОХОДЫ ОТ ИСПОЛЬЗОВАНИЯ ИМУЩЕСТВА, НАХОДЯЩЕГОСЯ В ГОСУДАРСТВЕННОЙ И МУНИЦИПАЛЬНОЙ СОБСТВЕННОСТИ</t>
  </si>
  <si>
    <t>000  1  12  01030  01  0000  120</t>
  </si>
  <si>
    <t>000  1  11  05013  10  0000  120</t>
  </si>
  <si>
    <t>1,267</t>
  </si>
  <si>
    <t>Невыясненные поступления, зачисляемые в бюджеты поселений</t>
  </si>
  <si>
    <t>000  2  02  03027  05  0000  151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</si>
  <si>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</si>
  <si>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000  1  16  03000  00  0000  140</t>
  </si>
  <si>
    <t>1,156</t>
  </si>
  <si>
    <t>Прочие неналоговые доходы</t>
  </si>
  <si>
    <t>НАЛОГИ НА ИМУЩЕСТВО</t>
  </si>
  <si>
    <t>1,1391</t>
  </si>
  <si>
    <t>000  1  12  01050  01  0000  120</t>
  </si>
  <si>
    <t>1,158</t>
  </si>
  <si>
    <t>ПРОЧИЕ БЕЗВОЗМЕЗДНЫЕ ПОСТУПЛЕНИЯ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</si>
  <si>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</si>
  <si>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000  2  00  00000  00  0000  000</t>
  </si>
  <si>
    <t>1,116</t>
  </si>
  <si>
    <t>1,1</t>
  </si>
  <si>
    <t>Ед. измерения: отчета -  руб.</t>
  </si>
  <si>
    <t>1,770</t>
  </si>
  <si>
    <t>000  2  02  04025  00  0000  151</t>
  </si>
  <si>
    <t>000  2  02  01999  10  0000  151</t>
  </si>
  <si>
    <t>1,501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</si>
  <si>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</si>
  <si>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налоги и сборы (по отмененным налогам и сборам субъектов Российской Федерации)</t>
  </si>
  <si>
    <t>000  1  11  05000  00  0000  120</t>
  </si>
  <si>
    <t>1,2094</t>
  </si>
  <si>
    <t>1,1043</t>
  </si>
  <si>
    <t>Код показателя</t>
  </si>
  <si>
    <t>000  2  07  05000  05  0000  180</t>
  </si>
  <si>
    <t>1,655</t>
  </si>
  <si>
    <t>1,409</t>
  </si>
  <si>
    <t>000  1  14  06010  00  0000  430</t>
  </si>
  <si>
    <t>000  1  01  02020  01  0000  110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</si>
  <si>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</si>
  <si>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</si>
  <si>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</si>
  <si>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1,1748</t>
  </si>
  <si>
    <t>1,1066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</si>
  <si>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</si>
  <si>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000  1  05  03000  01  0000  110</t>
  </si>
  <si>
    <t>1,776</t>
  </si>
  <si>
    <t>ВОЗВРАТ ОСТАТКОВ СУБСИДИЙ, СУБВЕНЦИЙ И ИНЫХ МЕЖБЮДЖЕТНЫХ ТРАНСФЕРТОВ, ИМЕЮЩИХ ЦЕЛЕВОЕ НАЗНАЧЕНИЕ, ПРОШЛЫХ ЛЕТ</t>
  </si>
  <si>
    <t>Прочие субвенции бюджетам муниципальных районов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</si>
  <si>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</si>
  <si>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000  1  16  25020  01  0000  140</t>
  </si>
  <si>
    <t>1,84</t>
  </si>
  <si>
    <t>000  1  11  00000  00  0000  000</t>
  </si>
  <si>
    <t>000  1  01  02040  01  0000  110</t>
  </si>
  <si>
    <t>000  1  09  00000  00  0000  000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</si>
  <si>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</si>
  <si>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000  2  02  04025  05  0000  151</t>
  </si>
  <si>
    <t>000  1  14  06025  10  0000  430</t>
  </si>
  <si>
    <t>1,428</t>
  </si>
  <si>
    <t>Прочие дотации бюджетам поселений</t>
  </si>
  <si>
    <t>НАЛОГИ НА ПРИБЫЛЬ, ДОХОДЫ</t>
  </si>
  <si>
    <t>1,3</t>
  </si>
  <si>
    <t>000  1  17  01000  00  0000  180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</si>
  <si>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</si>
  <si>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000  2  02  04014  00  0000  151</t>
  </si>
  <si>
    <t>Земельный налог</t>
  </si>
  <si>
    <t>000  1  16  03010  01  0000  140</t>
  </si>
  <si>
    <t>000  1  11  05035  10  0000  120</t>
  </si>
  <si>
    <t>1,851</t>
  </si>
  <si>
    <t>1,154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</si>
  <si>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</si>
  <si>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000  1  09  04050  00  0000  110</t>
  </si>
  <si>
    <t>1,611</t>
  </si>
  <si>
    <t>1,1729</t>
  </si>
  <si>
    <t>000  1  17  01050  10  0000  180</t>
  </si>
  <si>
    <t>1,1049</t>
  </si>
  <si>
    <t>1,717</t>
  </si>
  <si>
    <t>1,545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</si>
  <si>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</si>
  <si>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1,1727</t>
  </si>
  <si>
    <t>Доходы бюджета - отчет на 01.03.2012</t>
  </si>
  <si>
    <t>Начальник отдела финансов</t>
  </si>
  <si>
    <t>Е.Н.Гусева</t>
  </si>
  <si>
    <t>Главный бухгалтер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</si>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</sst>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4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0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view="pageBreakPreview" zoomScale="60" workbookViewId="0" topLeftCell="A127">
      <selection activeCell="C136" sqref="C136:H138"/>
    </sheetView>
  </sheetViews>
  <sheetFormatPr defaultColWidth="9.140625" defaultRowHeight="12.75"/>
  <cols>
    <col min="1" max="1" width="6.28125" style="0" customWidth="1"/>
    <col min="2" max="2" width="21.140625" style="0" customWidth="1"/>
    <col min="3" max="3" width="15.421875" style="0" customWidth="1"/>
    <col min="4" max="4" width="10.421875" style="0" customWidth="1"/>
    <col min="5" max="5" width="10.140625" style="0" customWidth="1"/>
    <col min="6" max="6" width="11.28125" style="0" customWidth="1"/>
    <col min="7" max="7" width="11.7109375" style="0" customWidth="1"/>
    <col min="8" max="11" width="10.140625" style="0" customWidth="1"/>
  </cols>
  <sheetData>
    <row r="1" spans="1:11" ht="12.75" customHeight="1">
      <c r="A1" s="5"/>
      <c r="B1" s="6"/>
      <c r="C1" s="7" t="s">
        <v>273</v>
      </c>
      <c r="D1" s="6"/>
      <c r="E1" s="6"/>
      <c r="F1" s="6"/>
      <c r="G1" s="8" t="s">
        <v>347</v>
      </c>
      <c r="H1" s="6"/>
      <c r="I1" s="6"/>
      <c r="J1" s="6"/>
      <c r="K1" s="6"/>
    </row>
    <row r="2" spans="1:11" ht="12.75" customHeight="1">
      <c r="A2" s="5"/>
      <c r="B2" s="6"/>
      <c r="C2" s="9" t="s">
        <v>404</v>
      </c>
      <c r="D2" s="6"/>
      <c r="E2" s="6"/>
      <c r="F2" s="6"/>
      <c r="G2" s="8" t="s">
        <v>205</v>
      </c>
      <c r="H2" s="6"/>
      <c r="I2" s="6"/>
      <c r="J2" s="6"/>
      <c r="K2" s="6"/>
    </row>
    <row r="3" spans="1:11" ht="12.75">
      <c r="A3" s="5" t="s">
        <v>293</v>
      </c>
      <c r="B3" s="6"/>
      <c r="C3" s="7" t="s">
        <v>1</v>
      </c>
      <c r="D3" s="6"/>
      <c r="E3" s="6"/>
      <c r="F3" s="6"/>
      <c r="G3" s="5" t="s">
        <v>293</v>
      </c>
      <c r="H3" s="6"/>
      <c r="I3" s="6"/>
      <c r="J3" s="6"/>
      <c r="K3" s="6"/>
    </row>
    <row r="4" spans="1:11" ht="72">
      <c r="A4" s="1" t="s">
        <v>78</v>
      </c>
      <c r="B4" s="1" t="s">
        <v>357</v>
      </c>
      <c r="C4" s="1" t="s">
        <v>237</v>
      </c>
      <c r="D4" s="1" t="s">
        <v>201</v>
      </c>
      <c r="E4" s="1" t="s">
        <v>122</v>
      </c>
      <c r="F4" s="1" t="s">
        <v>63</v>
      </c>
      <c r="G4" s="1" t="s">
        <v>133</v>
      </c>
      <c r="H4" s="1" t="s">
        <v>35</v>
      </c>
      <c r="I4" s="1" t="s">
        <v>288</v>
      </c>
      <c r="J4" s="1" t="s">
        <v>11</v>
      </c>
      <c r="K4" s="1" t="s">
        <v>62</v>
      </c>
    </row>
    <row r="5" spans="1:11" ht="18.75">
      <c r="A5" s="2" t="s">
        <v>346</v>
      </c>
      <c r="B5" s="3" t="s">
        <v>280</v>
      </c>
      <c r="C5" s="3" t="s">
        <v>244</v>
      </c>
      <c r="D5" s="4">
        <f>ROUND(475274400,2)</f>
        <v>475274400</v>
      </c>
      <c r="E5" s="4">
        <f>ROUND(63316253,2)</f>
        <v>63316253</v>
      </c>
      <c r="F5" s="4">
        <f>ROUND(396647000,2)</f>
        <v>396647000</v>
      </c>
      <c r="G5" s="4">
        <f>ROUND(141943653,2)</f>
        <v>141943653</v>
      </c>
      <c r="H5" s="4">
        <f>ROUND(83798083.44,2)</f>
        <v>83798083.44</v>
      </c>
      <c r="I5" s="4">
        <f>ROUND(9698878,2)</f>
        <v>9698878</v>
      </c>
      <c r="J5" s="4">
        <f>ROUND(68629756.84,2)</f>
        <v>68629756.84</v>
      </c>
      <c r="K5" s="4">
        <f>ROUND(24867204.6,2)</f>
        <v>24867204.6</v>
      </c>
    </row>
    <row r="6" spans="1:11" ht="27.75">
      <c r="A6" s="2" t="s">
        <v>161</v>
      </c>
      <c r="B6" s="3" t="s">
        <v>52</v>
      </c>
      <c r="C6" s="3" t="s">
        <v>243</v>
      </c>
      <c r="D6" s="4">
        <f>ROUND(172277400,2)</f>
        <v>172277400</v>
      </c>
      <c r="E6" s="4">
        <f aca="true" t="shared" si="0" ref="E6:E37">ROUND(0,2)</f>
        <v>0</v>
      </c>
      <c r="F6" s="4">
        <f>ROUND(95608900,2)</f>
        <v>95608900</v>
      </c>
      <c r="G6" s="4">
        <f>ROUND(76668500,2)</f>
        <v>76668500</v>
      </c>
      <c r="H6" s="4">
        <f>ROUND(29575664.65,2)</f>
        <v>29575664.65</v>
      </c>
      <c r="I6" s="4">
        <f aca="true" t="shared" si="1" ref="I6:I37">ROUND(0,2)</f>
        <v>0</v>
      </c>
      <c r="J6" s="4">
        <f>ROUND(14728538.05,2)</f>
        <v>14728538.05</v>
      </c>
      <c r="K6" s="4">
        <f>ROUND(14847126.6,2)</f>
        <v>14847126.6</v>
      </c>
    </row>
    <row r="7" spans="1:11" ht="18.75">
      <c r="A7" s="2" t="s">
        <v>385</v>
      </c>
      <c r="B7" s="3" t="s">
        <v>308</v>
      </c>
      <c r="C7" s="3" t="s">
        <v>384</v>
      </c>
      <c r="D7" s="4">
        <f>ROUND(73838500,2)</f>
        <v>73838500</v>
      </c>
      <c r="E7" s="4">
        <f t="shared" si="0"/>
        <v>0</v>
      </c>
      <c r="F7" s="4">
        <f>ROUND(61323500,2)</f>
        <v>61323500</v>
      </c>
      <c r="G7" s="4">
        <f>ROUND(12515000,2)</f>
        <v>12515000</v>
      </c>
      <c r="H7" s="4">
        <f>ROUND(12886501.28,2)</f>
        <v>12886501.28</v>
      </c>
      <c r="I7" s="4">
        <f t="shared" si="1"/>
        <v>0</v>
      </c>
      <c r="J7" s="4">
        <f>ROUND(10702348.51,2)</f>
        <v>10702348.51</v>
      </c>
      <c r="K7" s="4">
        <f>ROUND(2184152.77,2)</f>
        <v>2184152.77</v>
      </c>
    </row>
    <row r="8" spans="1:11" ht="18.75">
      <c r="A8" s="2" t="s">
        <v>221</v>
      </c>
      <c r="B8" s="3" t="s">
        <v>58</v>
      </c>
      <c r="C8" s="3" t="s">
        <v>220</v>
      </c>
      <c r="D8" s="4">
        <f>ROUND(73838500,2)</f>
        <v>73838500</v>
      </c>
      <c r="E8" s="4">
        <f t="shared" si="0"/>
        <v>0</v>
      </c>
      <c r="F8" s="4">
        <f>ROUND(61323500,2)</f>
        <v>61323500</v>
      </c>
      <c r="G8" s="4">
        <f>ROUND(12515000,2)</f>
        <v>12515000</v>
      </c>
      <c r="H8" s="4">
        <f>ROUND(12886501.28,2)</f>
        <v>12886501.28</v>
      </c>
      <c r="I8" s="4">
        <f t="shared" si="1"/>
        <v>0</v>
      </c>
      <c r="J8" s="4">
        <f>ROUND(10702348.51,2)</f>
        <v>10702348.51</v>
      </c>
      <c r="K8" s="4">
        <f>ROUND(2184152.77,2)</f>
        <v>2184152.77</v>
      </c>
    </row>
    <row r="9" spans="1:11" ht="135.75">
      <c r="A9" s="2" t="s">
        <v>55</v>
      </c>
      <c r="B9" s="3" t="s">
        <v>157</v>
      </c>
      <c r="C9" s="3" t="s">
        <v>145</v>
      </c>
      <c r="D9" s="4">
        <f>ROUND(73074900,2)</f>
        <v>73074900</v>
      </c>
      <c r="E9" s="4">
        <f t="shared" si="0"/>
        <v>0</v>
      </c>
      <c r="F9" s="4">
        <f>ROUND(60617900,2)</f>
        <v>60617900</v>
      </c>
      <c r="G9" s="4">
        <f>ROUND(12457000,2)</f>
        <v>12457000</v>
      </c>
      <c r="H9" s="4">
        <f>ROUND(12813951.8,2)</f>
        <v>12813951.8</v>
      </c>
      <c r="I9" s="4">
        <f t="shared" si="1"/>
        <v>0</v>
      </c>
      <c r="J9" s="4">
        <f>ROUND(10642095.55,2)</f>
        <v>10642095.55</v>
      </c>
      <c r="K9" s="4">
        <f>ROUND(2171856.25,2)</f>
        <v>2171856.25</v>
      </c>
    </row>
    <row r="10" spans="1:11" ht="198.75">
      <c r="A10" s="2" t="s">
        <v>229</v>
      </c>
      <c r="B10" s="3" t="s">
        <v>362</v>
      </c>
      <c r="C10" s="3" t="s">
        <v>121</v>
      </c>
      <c r="D10" s="4">
        <f>ROUND(751800,2)</f>
        <v>751800</v>
      </c>
      <c r="E10" s="4">
        <f t="shared" si="0"/>
        <v>0</v>
      </c>
      <c r="F10" s="4">
        <f>ROUND(695800,2)</f>
        <v>695800</v>
      </c>
      <c r="G10" s="4">
        <f>ROUND(56000,2)</f>
        <v>56000</v>
      </c>
      <c r="H10" s="4">
        <f>ROUND(69868.77,2)</f>
        <v>69868.77</v>
      </c>
      <c r="I10" s="4">
        <f t="shared" si="1"/>
        <v>0</v>
      </c>
      <c r="J10" s="4">
        <f>ROUND(58026.61,2)</f>
        <v>58026.61</v>
      </c>
      <c r="K10" s="4">
        <f>ROUND(11842.16,2)</f>
        <v>11842.16</v>
      </c>
    </row>
    <row r="11" spans="1:11" ht="72.75">
      <c r="A11" s="2" t="s">
        <v>48</v>
      </c>
      <c r="B11" s="3" t="s">
        <v>259</v>
      </c>
      <c r="C11" s="3" t="s">
        <v>36</v>
      </c>
      <c r="D11" s="4">
        <f>ROUND(5900,2)</f>
        <v>5900</v>
      </c>
      <c r="E11" s="4">
        <f t="shared" si="0"/>
        <v>0</v>
      </c>
      <c r="F11" s="4">
        <f>ROUND(4900,2)</f>
        <v>4900</v>
      </c>
      <c r="G11" s="4">
        <f>ROUND(1000,2)</f>
        <v>1000</v>
      </c>
      <c r="H11" s="4">
        <f>ROUND(1500.71,2)</f>
        <v>1500.71</v>
      </c>
      <c r="I11" s="4">
        <f t="shared" si="1"/>
        <v>0</v>
      </c>
      <c r="J11" s="4">
        <f>ROUND(1246.35,2)</f>
        <v>1246.35</v>
      </c>
      <c r="K11" s="4">
        <f>ROUND(254.36,2)</f>
        <v>254.36</v>
      </c>
    </row>
    <row r="12" spans="1:11" ht="171.75">
      <c r="A12" s="2" t="s">
        <v>198</v>
      </c>
      <c r="B12" s="3" t="s">
        <v>377</v>
      </c>
      <c r="C12" s="3" t="s">
        <v>368</v>
      </c>
      <c r="D12" s="4">
        <f>ROUND(5900,2)</f>
        <v>5900</v>
      </c>
      <c r="E12" s="4">
        <f t="shared" si="0"/>
        <v>0</v>
      </c>
      <c r="F12" s="4">
        <f>ROUND(4900,2)</f>
        <v>4900</v>
      </c>
      <c r="G12" s="4">
        <f>ROUND(1000,2)</f>
        <v>1000</v>
      </c>
      <c r="H12" s="4">
        <f>ROUND(1180,2)</f>
        <v>1180</v>
      </c>
      <c r="I12" s="4">
        <f t="shared" si="1"/>
        <v>0</v>
      </c>
      <c r="J12" s="4">
        <f>ROUND(980,2)</f>
        <v>980</v>
      </c>
      <c r="K12" s="4">
        <f>ROUND(200,2)</f>
        <v>200</v>
      </c>
    </row>
    <row r="13" spans="1:11" ht="27.75">
      <c r="A13" s="2" t="s">
        <v>375</v>
      </c>
      <c r="B13" s="3" t="s">
        <v>146</v>
      </c>
      <c r="C13" s="3" t="s">
        <v>57</v>
      </c>
      <c r="D13" s="4">
        <f>ROUND(10915030,2)</f>
        <v>10915030</v>
      </c>
      <c r="E13" s="4">
        <f t="shared" si="0"/>
        <v>0</v>
      </c>
      <c r="F13" s="4">
        <f>ROUND(9191430,2)</f>
        <v>9191430</v>
      </c>
      <c r="G13" s="4">
        <f>ROUND(1723600,2)</f>
        <v>1723600</v>
      </c>
      <c r="H13" s="4">
        <f>ROUND(2250822.42,2)</f>
        <v>2250822.42</v>
      </c>
      <c r="I13" s="4">
        <f t="shared" si="1"/>
        <v>0</v>
      </c>
      <c r="J13" s="4">
        <f>ROUND(1918770.3,2)</f>
        <v>1918770.3</v>
      </c>
      <c r="K13" s="4">
        <f>ROUND(332052.12,2)</f>
        <v>332052.12</v>
      </c>
    </row>
    <row r="14" spans="1:11" ht="36.75">
      <c r="A14" s="2" t="s">
        <v>45</v>
      </c>
      <c r="B14" s="3" t="s">
        <v>105</v>
      </c>
      <c r="C14" s="3" t="s">
        <v>153</v>
      </c>
      <c r="D14" s="4">
        <f>ROUND(8456500,2)</f>
        <v>8456500</v>
      </c>
      <c r="E14" s="4">
        <f t="shared" si="0"/>
        <v>0</v>
      </c>
      <c r="F14" s="4">
        <f>ROUND(7611000,2)</f>
        <v>7611000</v>
      </c>
      <c r="G14" s="4">
        <f>ROUND(845500,2)</f>
        <v>845500</v>
      </c>
      <c r="H14" s="4">
        <f>ROUND(1822411.16,2)</f>
        <v>1822411.16</v>
      </c>
      <c r="I14" s="4">
        <f t="shared" si="1"/>
        <v>0</v>
      </c>
      <c r="J14" s="4">
        <f>ROUND(1640302.78,2)</f>
        <v>1640302.78</v>
      </c>
      <c r="K14" s="4">
        <f>ROUND(182108.38,2)</f>
        <v>182108.38</v>
      </c>
    </row>
    <row r="15" spans="1:11" ht="36.75">
      <c r="A15" s="2" t="s">
        <v>219</v>
      </c>
      <c r="B15" s="3" t="s">
        <v>5</v>
      </c>
      <c r="C15" s="3" t="s">
        <v>153</v>
      </c>
      <c r="D15" s="4">
        <f>ROUND(7238814.9,2)</f>
        <v>7238814.9</v>
      </c>
      <c r="E15" s="4">
        <f t="shared" si="0"/>
        <v>0</v>
      </c>
      <c r="F15" s="4">
        <f>ROUND(6512100,2)</f>
        <v>6512100</v>
      </c>
      <c r="G15" s="4">
        <f>ROUND(726714.9,2)</f>
        <v>726714.9</v>
      </c>
      <c r="H15" s="4">
        <f>ROUND(1834356.43,2)</f>
        <v>1834356.43</v>
      </c>
      <c r="I15" s="4">
        <f t="shared" si="1"/>
        <v>0</v>
      </c>
      <c r="J15" s="4">
        <f>ROUND(1650920.78,2)</f>
        <v>1650920.78</v>
      </c>
      <c r="K15" s="4">
        <f>ROUND(183435.65,2)</f>
        <v>183435.65</v>
      </c>
    </row>
    <row r="16" spans="1:11" ht="63.75">
      <c r="A16" s="2" t="s">
        <v>32</v>
      </c>
      <c r="B16" s="3" t="s">
        <v>214</v>
      </c>
      <c r="C16" s="3" t="s">
        <v>151</v>
      </c>
      <c r="D16" s="4">
        <f>ROUND(1217685.1,2)</f>
        <v>1217685.1</v>
      </c>
      <c r="E16" s="4">
        <f t="shared" si="0"/>
        <v>0</v>
      </c>
      <c r="F16" s="4">
        <f>ROUND(1098900,2)</f>
        <v>1098900</v>
      </c>
      <c r="G16" s="4">
        <f>ROUND(118785.1,2)</f>
        <v>118785.1</v>
      </c>
      <c r="H16" s="4">
        <f>ROUND(-11945.27,2)</f>
        <v>-11945.27</v>
      </c>
      <c r="I16" s="4">
        <f t="shared" si="1"/>
        <v>0</v>
      </c>
      <c r="J16" s="4">
        <f>ROUND(-10618,2)</f>
        <v>-10618</v>
      </c>
      <c r="K16" s="4">
        <f>ROUND(-1327.27,2)</f>
        <v>-1327.27</v>
      </c>
    </row>
    <row r="17" spans="1:11" ht="27.75">
      <c r="A17" s="2" t="s">
        <v>267</v>
      </c>
      <c r="B17" s="3" t="s">
        <v>369</v>
      </c>
      <c r="C17" s="3" t="s">
        <v>10</v>
      </c>
      <c r="D17" s="4">
        <f>ROUND(2458530,2)</f>
        <v>2458530</v>
      </c>
      <c r="E17" s="4">
        <f t="shared" si="0"/>
        <v>0</v>
      </c>
      <c r="F17" s="4">
        <f>ROUND(1580430,2)</f>
        <v>1580430</v>
      </c>
      <c r="G17" s="4">
        <f>ROUND(878100,2)</f>
        <v>878100</v>
      </c>
      <c r="H17" s="4">
        <f>ROUND(428411.26,2)</f>
        <v>428411.26</v>
      </c>
      <c r="I17" s="4">
        <f t="shared" si="1"/>
        <v>0</v>
      </c>
      <c r="J17" s="4">
        <f>ROUND(278467.52,2)</f>
        <v>278467.52</v>
      </c>
      <c r="K17" s="4">
        <f>ROUND(149943.74,2)</f>
        <v>149943.74</v>
      </c>
    </row>
    <row r="18" spans="1:11" ht="27.75">
      <c r="A18" s="2" t="s">
        <v>94</v>
      </c>
      <c r="B18" s="3" t="s">
        <v>263</v>
      </c>
      <c r="C18" s="3" t="s">
        <v>10</v>
      </c>
      <c r="D18" s="4">
        <f>ROUND(2320960,2)</f>
        <v>2320960</v>
      </c>
      <c r="E18" s="4">
        <f t="shared" si="0"/>
        <v>0</v>
      </c>
      <c r="F18" s="4">
        <f>ROUND(1522860,2)</f>
        <v>1522860</v>
      </c>
      <c r="G18" s="4">
        <f>ROUND(798100,2)</f>
        <v>798100</v>
      </c>
      <c r="H18" s="4">
        <f>ROUND(428399,2)</f>
        <v>428399</v>
      </c>
      <c r="I18" s="4">
        <f t="shared" si="1"/>
        <v>0</v>
      </c>
      <c r="J18" s="4">
        <f>ROUND(278459.35,2)</f>
        <v>278459.35</v>
      </c>
      <c r="K18" s="4">
        <f>ROUND(149939.65,2)</f>
        <v>149939.65</v>
      </c>
    </row>
    <row r="19" spans="1:11" ht="45.75">
      <c r="A19" s="2" t="s">
        <v>216</v>
      </c>
      <c r="B19" s="3" t="s">
        <v>67</v>
      </c>
      <c r="C19" s="3" t="s">
        <v>319</v>
      </c>
      <c r="D19" s="4">
        <f>ROUND(137570,2)</f>
        <v>137570</v>
      </c>
      <c r="E19" s="4">
        <f t="shared" si="0"/>
        <v>0</v>
      </c>
      <c r="F19" s="4">
        <f>ROUND(57570,2)</f>
        <v>57570</v>
      </c>
      <c r="G19" s="4">
        <f>ROUND(80000,2)</f>
        <v>80000</v>
      </c>
      <c r="H19" s="4">
        <f>ROUND(12.26,2)</f>
        <v>12.26</v>
      </c>
      <c r="I19" s="4">
        <f t="shared" si="1"/>
        <v>0</v>
      </c>
      <c r="J19" s="4">
        <f>ROUND(8.17,2)</f>
        <v>8.17</v>
      </c>
      <c r="K19" s="4">
        <f>ROUND(4.09,2)</f>
        <v>4.09</v>
      </c>
    </row>
    <row r="20" spans="1:11" ht="18.75">
      <c r="A20" s="2" t="s">
        <v>28</v>
      </c>
      <c r="B20" s="3" t="s">
        <v>171</v>
      </c>
      <c r="C20" s="3" t="s">
        <v>338</v>
      </c>
      <c r="D20" s="4">
        <f>ROUND(45796400,2)</f>
        <v>45796400</v>
      </c>
      <c r="E20" s="4">
        <f t="shared" si="0"/>
        <v>0</v>
      </c>
      <c r="F20" s="4">
        <f aca="true" t="shared" si="2" ref="F20:F27">ROUND(0,2)</f>
        <v>0</v>
      </c>
      <c r="G20" s="4">
        <f>ROUND(45796400,2)</f>
        <v>45796400</v>
      </c>
      <c r="H20" s="4">
        <f>ROUND(10125862.23,2)</f>
        <v>10125862.23</v>
      </c>
      <c r="I20" s="4">
        <f t="shared" si="1"/>
        <v>0</v>
      </c>
      <c r="J20" s="4">
        <f aca="true" t="shared" si="3" ref="J20:J27">ROUND(0,2)</f>
        <v>0</v>
      </c>
      <c r="K20" s="4">
        <f>ROUND(10125862.23,2)</f>
        <v>10125862.23</v>
      </c>
    </row>
    <row r="21" spans="1:11" ht="18.75">
      <c r="A21" s="2" t="s">
        <v>284</v>
      </c>
      <c r="B21" s="3" t="s">
        <v>115</v>
      </c>
      <c r="C21" s="3" t="s">
        <v>90</v>
      </c>
      <c r="D21" s="4">
        <f>ROUND(1671500,2)</f>
        <v>1671500</v>
      </c>
      <c r="E21" s="4">
        <f t="shared" si="0"/>
        <v>0</v>
      </c>
      <c r="F21" s="4">
        <f t="shared" si="2"/>
        <v>0</v>
      </c>
      <c r="G21" s="4">
        <f>ROUND(1671500,2)</f>
        <v>1671500</v>
      </c>
      <c r="H21" s="4">
        <f>ROUND(117912.7,2)</f>
        <v>117912.7</v>
      </c>
      <c r="I21" s="4">
        <f t="shared" si="1"/>
        <v>0</v>
      </c>
      <c r="J21" s="4">
        <f t="shared" si="3"/>
        <v>0</v>
      </c>
      <c r="K21" s="4">
        <f>ROUND(117912.7,2)</f>
        <v>117912.7</v>
      </c>
    </row>
    <row r="22" spans="1:11" ht="72.75">
      <c r="A22" s="2" t="s">
        <v>239</v>
      </c>
      <c r="B22" s="3" t="s">
        <v>111</v>
      </c>
      <c r="C22" s="3" t="s">
        <v>208</v>
      </c>
      <c r="D22" s="4">
        <f>ROUND(1671500,2)</f>
        <v>1671500</v>
      </c>
      <c r="E22" s="4">
        <f t="shared" si="0"/>
        <v>0</v>
      </c>
      <c r="F22" s="4">
        <f t="shared" si="2"/>
        <v>0</v>
      </c>
      <c r="G22" s="4">
        <f>ROUND(1671500,2)</f>
        <v>1671500</v>
      </c>
      <c r="H22" s="4">
        <f>ROUND(117912.7,2)</f>
        <v>117912.7</v>
      </c>
      <c r="I22" s="4">
        <f t="shared" si="1"/>
        <v>0</v>
      </c>
      <c r="J22" s="4">
        <f t="shared" si="3"/>
        <v>0</v>
      </c>
      <c r="K22" s="4">
        <f>ROUND(117912.7,2)</f>
        <v>117912.7</v>
      </c>
    </row>
    <row r="23" spans="1:11" ht="12.75">
      <c r="A23" s="2" t="s">
        <v>345</v>
      </c>
      <c r="B23" s="3" t="s">
        <v>8</v>
      </c>
      <c r="C23" s="3" t="s">
        <v>389</v>
      </c>
      <c r="D23" s="4">
        <f>ROUND(44124900,2)</f>
        <v>44124900</v>
      </c>
      <c r="E23" s="4">
        <f t="shared" si="0"/>
        <v>0</v>
      </c>
      <c r="F23" s="4">
        <f t="shared" si="2"/>
        <v>0</v>
      </c>
      <c r="G23" s="4">
        <f>ROUND(44124900,2)</f>
        <v>44124900</v>
      </c>
      <c r="H23" s="4">
        <f>ROUND(10007949.53,2)</f>
        <v>10007949.53</v>
      </c>
      <c r="I23" s="4">
        <f t="shared" si="1"/>
        <v>0</v>
      </c>
      <c r="J23" s="4">
        <f t="shared" si="3"/>
        <v>0</v>
      </c>
      <c r="K23" s="4">
        <f>ROUND(10007949.53,2)</f>
        <v>10007949.53</v>
      </c>
    </row>
    <row r="24" spans="1:11" ht="81.75">
      <c r="A24" s="2" t="s">
        <v>112</v>
      </c>
      <c r="B24" s="3" t="s">
        <v>103</v>
      </c>
      <c r="C24" s="3" t="s">
        <v>253</v>
      </c>
      <c r="D24" s="4">
        <f>ROUND(13869900,2)</f>
        <v>13869900</v>
      </c>
      <c r="E24" s="4">
        <f t="shared" si="0"/>
        <v>0</v>
      </c>
      <c r="F24" s="4">
        <f t="shared" si="2"/>
        <v>0</v>
      </c>
      <c r="G24" s="4">
        <f>ROUND(13869900,2)</f>
        <v>13869900</v>
      </c>
      <c r="H24" s="4">
        <f>ROUND(1686927.92,2)</f>
        <v>1686927.92</v>
      </c>
      <c r="I24" s="4">
        <f t="shared" si="1"/>
        <v>0</v>
      </c>
      <c r="J24" s="4">
        <f t="shared" si="3"/>
        <v>0</v>
      </c>
      <c r="K24" s="4">
        <f>ROUND(1686927.92,2)</f>
        <v>1686927.92</v>
      </c>
    </row>
    <row r="25" spans="1:11" ht="126.75">
      <c r="A25" s="2" t="s">
        <v>295</v>
      </c>
      <c r="B25" s="3" t="s">
        <v>83</v>
      </c>
      <c r="C25" s="3" t="s">
        <v>387</v>
      </c>
      <c r="D25" s="4">
        <f>ROUND(13869900,2)</f>
        <v>13869900</v>
      </c>
      <c r="E25" s="4">
        <f t="shared" si="0"/>
        <v>0</v>
      </c>
      <c r="F25" s="4">
        <f t="shared" si="2"/>
        <v>0</v>
      </c>
      <c r="G25" s="4">
        <f>ROUND(13869900,2)</f>
        <v>13869900</v>
      </c>
      <c r="H25" s="4">
        <f>ROUND(1686927.92,2)</f>
        <v>1686927.92</v>
      </c>
      <c r="I25" s="4">
        <f t="shared" si="1"/>
        <v>0</v>
      </c>
      <c r="J25" s="4">
        <f t="shared" si="3"/>
        <v>0</v>
      </c>
      <c r="K25" s="4">
        <f>ROUND(1686927.92,2)</f>
        <v>1686927.92</v>
      </c>
    </row>
    <row r="26" spans="1:11" ht="81.75">
      <c r="A26" s="2" t="s">
        <v>12</v>
      </c>
      <c r="B26" s="3" t="s">
        <v>300</v>
      </c>
      <c r="C26" s="3" t="s">
        <v>155</v>
      </c>
      <c r="D26" s="4">
        <f>ROUND(30255000,2)</f>
        <v>30255000</v>
      </c>
      <c r="E26" s="4">
        <f t="shared" si="0"/>
        <v>0</v>
      </c>
      <c r="F26" s="4">
        <f t="shared" si="2"/>
        <v>0</v>
      </c>
      <c r="G26" s="4">
        <f>ROUND(30255000,2)</f>
        <v>30255000</v>
      </c>
      <c r="H26" s="4">
        <f>ROUND(8321021.61,2)</f>
        <v>8321021.61</v>
      </c>
      <c r="I26" s="4">
        <f t="shared" si="1"/>
        <v>0</v>
      </c>
      <c r="J26" s="4">
        <f t="shared" si="3"/>
        <v>0</v>
      </c>
      <c r="K26" s="4">
        <f>ROUND(8321021.61,2)</f>
        <v>8321021.61</v>
      </c>
    </row>
    <row r="27" spans="1:11" ht="126.75">
      <c r="A27" s="2" t="s">
        <v>53</v>
      </c>
      <c r="B27" s="3" t="s">
        <v>283</v>
      </c>
      <c r="C27" s="3" t="s">
        <v>206</v>
      </c>
      <c r="D27" s="4">
        <f>ROUND(30255000,2)</f>
        <v>30255000</v>
      </c>
      <c r="E27" s="4">
        <f t="shared" si="0"/>
        <v>0</v>
      </c>
      <c r="F27" s="4">
        <f t="shared" si="2"/>
        <v>0</v>
      </c>
      <c r="G27" s="4">
        <f>ROUND(30255000,2)</f>
        <v>30255000</v>
      </c>
      <c r="H27" s="4">
        <f>ROUND(8321021.61,2)</f>
        <v>8321021.61</v>
      </c>
      <c r="I27" s="4">
        <f t="shared" si="1"/>
        <v>0</v>
      </c>
      <c r="J27" s="4">
        <f t="shared" si="3"/>
        <v>0</v>
      </c>
      <c r="K27" s="4">
        <f>ROUND(8321021.61,2)</f>
        <v>8321021.61</v>
      </c>
    </row>
    <row r="28" spans="1:11" ht="18.75">
      <c r="A28" s="2" t="s">
        <v>247</v>
      </c>
      <c r="B28" s="3" t="s">
        <v>91</v>
      </c>
      <c r="C28" s="3" t="s">
        <v>41</v>
      </c>
      <c r="D28" s="4">
        <f>ROUND(1395000,2)</f>
        <v>1395000</v>
      </c>
      <c r="E28" s="4">
        <f t="shared" si="0"/>
        <v>0</v>
      </c>
      <c r="F28" s="4">
        <f>ROUND(650000,2)</f>
        <v>650000</v>
      </c>
      <c r="G28" s="4">
        <f>ROUND(745000,2)</f>
        <v>745000</v>
      </c>
      <c r="H28" s="4">
        <f>ROUND(152648.2,2)</f>
        <v>152648.2</v>
      </c>
      <c r="I28" s="4">
        <f t="shared" si="1"/>
        <v>0</v>
      </c>
      <c r="J28" s="4">
        <f>ROUND(85373.2,2)</f>
        <v>85373.2</v>
      </c>
      <c r="K28" s="4">
        <f>ROUND(67275,2)</f>
        <v>67275</v>
      </c>
    </row>
    <row r="29" spans="1:11" ht="54.75">
      <c r="A29" s="2" t="s">
        <v>137</v>
      </c>
      <c r="B29" s="3" t="s">
        <v>223</v>
      </c>
      <c r="C29" s="3" t="s">
        <v>99</v>
      </c>
      <c r="D29" s="4">
        <f>ROUND(650000,2)</f>
        <v>650000</v>
      </c>
      <c r="E29" s="4">
        <f t="shared" si="0"/>
        <v>0</v>
      </c>
      <c r="F29" s="4">
        <f>ROUND(650000,2)</f>
        <v>650000</v>
      </c>
      <c r="G29" s="4">
        <f>ROUND(0,2)</f>
        <v>0</v>
      </c>
      <c r="H29" s="4">
        <f>ROUND(85373.2,2)</f>
        <v>85373.2</v>
      </c>
      <c r="I29" s="4">
        <f t="shared" si="1"/>
        <v>0</v>
      </c>
      <c r="J29" s="4">
        <f>ROUND(85373.2,2)</f>
        <v>85373.2</v>
      </c>
      <c r="K29" s="4">
        <f>ROUND(0,2)</f>
        <v>0</v>
      </c>
    </row>
    <row r="30" spans="1:11" ht="90.75">
      <c r="A30" s="2" t="s">
        <v>393</v>
      </c>
      <c r="B30" s="3" t="s">
        <v>305</v>
      </c>
      <c r="C30" s="3" t="s">
        <v>3</v>
      </c>
      <c r="D30" s="4">
        <f>ROUND(650000,2)</f>
        <v>650000</v>
      </c>
      <c r="E30" s="4">
        <f t="shared" si="0"/>
        <v>0</v>
      </c>
      <c r="F30" s="4">
        <f>ROUND(650000,2)</f>
        <v>650000</v>
      </c>
      <c r="G30" s="4">
        <f>ROUND(0,2)</f>
        <v>0</v>
      </c>
      <c r="H30" s="4">
        <f>ROUND(85373.2,2)</f>
        <v>85373.2</v>
      </c>
      <c r="I30" s="4">
        <f t="shared" si="1"/>
        <v>0</v>
      </c>
      <c r="J30" s="4">
        <f>ROUND(85373.2,2)</f>
        <v>85373.2</v>
      </c>
      <c r="K30" s="4">
        <f>ROUND(0,2)</f>
        <v>0</v>
      </c>
    </row>
    <row r="31" spans="1:11" ht="108.75">
      <c r="A31" s="2" t="s">
        <v>336</v>
      </c>
      <c r="B31" s="3" t="s">
        <v>296</v>
      </c>
      <c r="C31" s="3" t="s">
        <v>303</v>
      </c>
      <c r="D31" s="4">
        <f>ROUND(745000,2)</f>
        <v>745000</v>
      </c>
      <c r="E31" s="4">
        <f t="shared" si="0"/>
        <v>0</v>
      </c>
      <c r="F31" s="4">
        <f aca="true" t="shared" si="4" ref="F31:F40">ROUND(0,2)</f>
        <v>0</v>
      </c>
      <c r="G31" s="4">
        <f>ROUND(745000,2)</f>
        <v>745000</v>
      </c>
      <c r="H31" s="4">
        <f>ROUND(67275,2)</f>
        <v>67275</v>
      </c>
      <c r="I31" s="4">
        <f t="shared" si="1"/>
        <v>0</v>
      </c>
      <c r="J31" s="4">
        <f>ROUND(0,2)</f>
        <v>0</v>
      </c>
      <c r="K31" s="4">
        <f>ROUND(67275,2)</f>
        <v>67275</v>
      </c>
    </row>
    <row r="32" spans="1:11" ht="144.75">
      <c r="A32" s="2" t="s">
        <v>341</v>
      </c>
      <c r="B32" s="3" t="s">
        <v>16</v>
      </c>
      <c r="C32" s="3" t="s">
        <v>50</v>
      </c>
      <c r="D32" s="4">
        <f>ROUND(745000,2)</f>
        <v>745000</v>
      </c>
      <c r="E32" s="4">
        <f t="shared" si="0"/>
        <v>0</v>
      </c>
      <c r="F32" s="4">
        <f t="shared" si="4"/>
        <v>0</v>
      </c>
      <c r="G32" s="4">
        <f>ROUND(745000,2)</f>
        <v>745000</v>
      </c>
      <c r="H32" s="4">
        <f>ROUND(67275,2)</f>
        <v>67275</v>
      </c>
      <c r="I32" s="4">
        <f t="shared" si="1"/>
        <v>0</v>
      </c>
      <c r="J32" s="4">
        <f>ROUND(0,2)</f>
        <v>0</v>
      </c>
      <c r="K32" s="4">
        <f>ROUND(67275,2)</f>
        <v>67275</v>
      </c>
    </row>
    <row r="33" spans="1:11" ht="63.75">
      <c r="A33" s="2" t="s">
        <v>272</v>
      </c>
      <c r="B33" s="3" t="s">
        <v>378</v>
      </c>
      <c r="C33" s="3" t="s">
        <v>120</v>
      </c>
      <c r="D33" s="4">
        <f aca="true" t="shared" si="5" ref="D33:D40">ROUND(0,2)</f>
        <v>0</v>
      </c>
      <c r="E33" s="4">
        <f t="shared" si="0"/>
        <v>0</v>
      </c>
      <c r="F33" s="4">
        <f t="shared" si="4"/>
        <v>0</v>
      </c>
      <c r="G33" s="4">
        <f aca="true" t="shared" si="6" ref="G33:G40">ROUND(0,2)</f>
        <v>0</v>
      </c>
      <c r="H33" s="4">
        <f>ROUND(-6008.15,2)</f>
        <v>-6008.15</v>
      </c>
      <c r="I33" s="4">
        <f t="shared" si="1"/>
        <v>0</v>
      </c>
      <c r="J33" s="4">
        <f>ROUND(-5891.4,2)</f>
        <v>-5891.4</v>
      </c>
      <c r="K33" s="4">
        <f>ROUND(-116.75,2)</f>
        <v>-116.75</v>
      </c>
    </row>
    <row r="34" spans="1:11" ht="45.75">
      <c r="A34" s="2" t="s">
        <v>96</v>
      </c>
      <c r="B34" s="3" t="s">
        <v>297</v>
      </c>
      <c r="C34" s="3" t="s">
        <v>307</v>
      </c>
      <c r="D34" s="4">
        <f t="shared" si="5"/>
        <v>0</v>
      </c>
      <c r="E34" s="4">
        <f t="shared" si="0"/>
        <v>0</v>
      </c>
      <c r="F34" s="4">
        <f t="shared" si="4"/>
        <v>0</v>
      </c>
      <c r="G34" s="4">
        <f t="shared" si="6"/>
        <v>0</v>
      </c>
      <c r="H34" s="4">
        <f>ROUND(-5875.89,2)</f>
        <v>-5875.89</v>
      </c>
      <c r="I34" s="4">
        <f t="shared" si="1"/>
        <v>0</v>
      </c>
      <c r="J34" s="4">
        <f>ROUND(-5875.89,2)</f>
        <v>-5875.89</v>
      </c>
      <c r="K34" s="4">
        <f>ROUND(0,2)</f>
        <v>0</v>
      </c>
    </row>
    <row r="35" spans="1:11" ht="81.75">
      <c r="A35" s="2" t="s">
        <v>204</v>
      </c>
      <c r="B35" s="3" t="s">
        <v>136</v>
      </c>
      <c r="C35" s="3" t="s">
        <v>240</v>
      </c>
      <c r="D35" s="4">
        <f t="shared" si="5"/>
        <v>0</v>
      </c>
      <c r="E35" s="4">
        <f t="shared" si="0"/>
        <v>0</v>
      </c>
      <c r="F35" s="4">
        <f t="shared" si="4"/>
        <v>0</v>
      </c>
      <c r="G35" s="4">
        <f t="shared" si="6"/>
        <v>0</v>
      </c>
      <c r="H35" s="4">
        <f>ROUND(-5875.89,2)</f>
        <v>-5875.89</v>
      </c>
      <c r="I35" s="4">
        <f t="shared" si="1"/>
        <v>0</v>
      </c>
      <c r="J35" s="4">
        <f>ROUND(-5875.89,2)</f>
        <v>-5875.89</v>
      </c>
      <c r="K35" s="4">
        <f>ROUND(0,2)</f>
        <v>0</v>
      </c>
    </row>
    <row r="36" spans="1:11" ht="12.75">
      <c r="A36" s="2" t="s">
        <v>134</v>
      </c>
      <c r="B36" s="3" t="s">
        <v>195</v>
      </c>
      <c r="C36" s="3" t="s">
        <v>176</v>
      </c>
      <c r="D36" s="4">
        <f t="shared" si="5"/>
        <v>0</v>
      </c>
      <c r="E36" s="4">
        <f t="shared" si="0"/>
        <v>0</v>
      </c>
      <c r="F36" s="4">
        <f t="shared" si="4"/>
        <v>0</v>
      </c>
      <c r="G36" s="4">
        <f t="shared" si="6"/>
        <v>0</v>
      </c>
      <c r="H36" s="4">
        <f>ROUND(-116.75,2)</f>
        <v>-116.75</v>
      </c>
      <c r="I36" s="4">
        <f t="shared" si="1"/>
        <v>0</v>
      </c>
      <c r="J36" s="4">
        <f>ROUND(0,2)</f>
        <v>0</v>
      </c>
      <c r="K36" s="4">
        <f>ROUND(-116.75,2)</f>
        <v>-116.75</v>
      </c>
    </row>
    <row r="37" spans="1:11" ht="36.75">
      <c r="A37" s="2" t="s">
        <v>281</v>
      </c>
      <c r="B37" s="3" t="s">
        <v>395</v>
      </c>
      <c r="C37" s="3" t="s">
        <v>175</v>
      </c>
      <c r="D37" s="4">
        <f t="shared" si="5"/>
        <v>0</v>
      </c>
      <c r="E37" s="4">
        <f t="shared" si="0"/>
        <v>0</v>
      </c>
      <c r="F37" s="4">
        <f t="shared" si="4"/>
        <v>0</v>
      </c>
      <c r="G37" s="4">
        <f t="shared" si="6"/>
        <v>0</v>
      </c>
      <c r="H37" s="4">
        <f>ROUND(-116.75,2)</f>
        <v>-116.75</v>
      </c>
      <c r="I37" s="4">
        <f t="shared" si="1"/>
        <v>0</v>
      </c>
      <c r="J37" s="4">
        <f>ROUND(0,2)</f>
        <v>0</v>
      </c>
      <c r="K37" s="4">
        <f>ROUND(-116.75,2)</f>
        <v>-116.75</v>
      </c>
    </row>
    <row r="38" spans="1:11" ht="63.75">
      <c r="A38" s="2" t="s">
        <v>212</v>
      </c>
      <c r="B38" s="3" t="s">
        <v>202</v>
      </c>
      <c r="C38" s="3" t="s">
        <v>152</v>
      </c>
      <c r="D38" s="4">
        <f t="shared" si="5"/>
        <v>0</v>
      </c>
      <c r="E38" s="4">
        <f aca="true" t="shared" si="7" ref="E38:E69">ROUND(0,2)</f>
        <v>0</v>
      </c>
      <c r="F38" s="4">
        <f t="shared" si="4"/>
        <v>0</v>
      </c>
      <c r="G38" s="4">
        <f t="shared" si="6"/>
        <v>0</v>
      </c>
      <c r="H38" s="4">
        <f>ROUND(-116.75,2)</f>
        <v>-116.75</v>
      </c>
      <c r="I38" s="4">
        <f aca="true" t="shared" si="8" ref="I38:I69">ROUND(0,2)</f>
        <v>0</v>
      </c>
      <c r="J38" s="4">
        <f>ROUND(0,2)</f>
        <v>0</v>
      </c>
      <c r="K38" s="4">
        <f>ROUND(-116.75,2)</f>
        <v>-116.75</v>
      </c>
    </row>
    <row r="39" spans="1:11" ht="45.75">
      <c r="A39" s="2" t="s">
        <v>331</v>
      </c>
      <c r="B39" s="3" t="s">
        <v>43</v>
      </c>
      <c r="C39" s="3" t="s">
        <v>353</v>
      </c>
      <c r="D39" s="4">
        <f t="shared" si="5"/>
        <v>0</v>
      </c>
      <c r="E39" s="4">
        <f t="shared" si="7"/>
        <v>0</v>
      </c>
      <c r="F39" s="4">
        <f t="shared" si="4"/>
        <v>0</v>
      </c>
      <c r="G39" s="4">
        <f t="shared" si="6"/>
        <v>0</v>
      </c>
      <c r="H39" s="4">
        <f>ROUND(-15.51,2)</f>
        <v>-15.51</v>
      </c>
      <c r="I39" s="4">
        <f t="shared" si="8"/>
        <v>0</v>
      </c>
      <c r="J39" s="4">
        <f>ROUND(-15.51,2)</f>
        <v>-15.51</v>
      </c>
      <c r="K39" s="4">
        <f>ROUND(0,2)</f>
        <v>0</v>
      </c>
    </row>
    <row r="40" spans="1:11" ht="12.75">
      <c r="A40" s="2" t="s">
        <v>110</v>
      </c>
      <c r="B40" s="3" t="s">
        <v>139</v>
      </c>
      <c r="C40" s="3" t="s">
        <v>101</v>
      </c>
      <c r="D40" s="4">
        <f t="shared" si="5"/>
        <v>0</v>
      </c>
      <c r="E40" s="4">
        <f t="shared" si="7"/>
        <v>0</v>
      </c>
      <c r="F40" s="4">
        <f t="shared" si="4"/>
        <v>0</v>
      </c>
      <c r="G40" s="4">
        <f t="shared" si="6"/>
        <v>0</v>
      </c>
      <c r="H40" s="4">
        <f>ROUND(-15.51,2)</f>
        <v>-15.51</v>
      </c>
      <c r="I40" s="4">
        <f t="shared" si="8"/>
        <v>0</v>
      </c>
      <c r="J40" s="4">
        <f>ROUND(-15.51,2)</f>
        <v>-15.51</v>
      </c>
      <c r="K40" s="4">
        <f>ROUND(0,2)</f>
        <v>0</v>
      </c>
    </row>
    <row r="41" spans="1:11" ht="63.75">
      <c r="A41" s="2" t="s">
        <v>278</v>
      </c>
      <c r="B41" s="3" t="s">
        <v>376</v>
      </c>
      <c r="C41" s="3" t="s">
        <v>328</v>
      </c>
      <c r="D41" s="4">
        <f>ROUND(25485942,2)</f>
        <v>25485942</v>
      </c>
      <c r="E41" s="4">
        <f t="shared" si="7"/>
        <v>0</v>
      </c>
      <c r="F41" s="4">
        <f>ROUND(12680000,2)</f>
        <v>12680000</v>
      </c>
      <c r="G41" s="4">
        <f>ROUND(12805942,2)</f>
        <v>12805942</v>
      </c>
      <c r="H41" s="4">
        <f>ROUND(2785052.96,2)</f>
        <v>2785052.96</v>
      </c>
      <c r="I41" s="4">
        <f t="shared" si="8"/>
        <v>0</v>
      </c>
      <c r="J41" s="4">
        <f>ROUND(1391024.42,2)</f>
        <v>1391024.42</v>
      </c>
      <c r="K41" s="4">
        <f>ROUND(1394028.54,2)</f>
        <v>1394028.54</v>
      </c>
    </row>
    <row r="42" spans="1:11" ht="180.75">
      <c r="A42" s="2" t="s">
        <v>141</v>
      </c>
      <c r="B42" s="3" t="s">
        <v>354</v>
      </c>
      <c r="C42" s="3" t="s">
        <v>232</v>
      </c>
      <c r="D42" s="4">
        <f>ROUND(25485942,2)</f>
        <v>25485942</v>
      </c>
      <c r="E42" s="4">
        <f t="shared" si="7"/>
        <v>0</v>
      </c>
      <c r="F42" s="4">
        <f>ROUND(12680000,2)</f>
        <v>12680000</v>
      </c>
      <c r="G42" s="4">
        <f>ROUND(12805942,2)</f>
        <v>12805942</v>
      </c>
      <c r="H42" s="4">
        <f>ROUND(2785052.96,2)</f>
        <v>2785052.96</v>
      </c>
      <c r="I42" s="4">
        <f t="shared" si="8"/>
        <v>0</v>
      </c>
      <c r="J42" s="4">
        <f>ROUND(1391024.42,2)</f>
        <v>1391024.42</v>
      </c>
      <c r="K42" s="4">
        <f>ROUND(1394028.54,2)</f>
        <v>1394028.54</v>
      </c>
    </row>
    <row r="43" spans="1:11" ht="108.75">
      <c r="A43" s="2" t="s">
        <v>316</v>
      </c>
      <c r="B43" s="3" t="s">
        <v>254</v>
      </c>
      <c r="C43" s="3" t="s">
        <v>24</v>
      </c>
      <c r="D43" s="4">
        <f>ROUND(24812442,2)</f>
        <v>24812442</v>
      </c>
      <c r="E43" s="4">
        <f t="shared" si="7"/>
        <v>0</v>
      </c>
      <c r="F43" s="4">
        <f>ROUND(12420000,2)</f>
        <v>12420000</v>
      </c>
      <c r="G43" s="4">
        <f>ROUND(12392442,2)</f>
        <v>12392442</v>
      </c>
      <c r="H43" s="4">
        <f>ROUND(2674866.03,2)</f>
        <v>2674866.03</v>
      </c>
      <c r="I43" s="4">
        <f t="shared" si="8"/>
        <v>0</v>
      </c>
      <c r="J43" s="4">
        <f>ROUND(1337432.92,2)</f>
        <v>1337432.92</v>
      </c>
      <c r="K43" s="4">
        <f>ROUND(1337433.11,2)</f>
        <v>1337433.11</v>
      </c>
    </row>
    <row r="44" spans="1:11" ht="126.75">
      <c r="A44" s="2" t="s">
        <v>360</v>
      </c>
      <c r="B44" s="3" t="s">
        <v>330</v>
      </c>
      <c r="C44" s="3" t="s">
        <v>394</v>
      </c>
      <c r="D44" s="4">
        <f>ROUND(24812442,2)</f>
        <v>24812442</v>
      </c>
      <c r="E44" s="4">
        <f t="shared" si="7"/>
        <v>0</v>
      </c>
      <c r="F44" s="4">
        <f>ROUND(12420000,2)</f>
        <v>12420000</v>
      </c>
      <c r="G44" s="4">
        <f>ROUND(12392442,2)</f>
        <v>12392442</v>
      </c>
      <c r="H44" s="4">
        <f>ROUND(2674866.03,2)</f>
        <v>2674866.03</v>
      </c>
      <c r="I44" s="4">
        <f t="shared" si="8"/>
        <v>0</v>
      </c>
      <c r="J44" s="4">
        <f>ROUND(1337432.92,2)</f>
        <v>1337432.92</v>
      </c>
      <c r="K44" s="4">
        <f>ROUND(1337433.11,2)</f>
        <v>1337433.11</v>
      </c>
    </row>
    <row r="45" spans="1:11" ht="162.75">
      <c r="A45" s="2" t="s">
        <v>382</v>
      </c>
      <c r="B45" s="3" t="s">
        <v>164</v>
      </c>
      <c r="C45" s="3" t="s">
        <v>79</v>
      </c>
      <c r="D45" s="4">
        <f>ROUND(673500,2)</f>
        <v>673500</v>
      </c>
      <c r="E45" s="4">
        <f t="shared" si="7"/>
        <v>0</v>
      </c>
      <c r="F45" s="4">
        <f>ROUND(260000,2)</f>
        <v>260000</v>
      </c>
      <c r="G45" s="4">
        <f>ROUND(413500,2)</f>
        <v>413500</v>
      </c>
      <c r="H45" s="4">
        <f>ROUND(110186.93,2)</f>
        <v>110186.93</v>
      </c>
      <c r="I45" s="4">
        <f t="shared" si="8"/>
        <v>0</v>
      </c>
      <c r="J45" s="4">
        <f>ROUND(53591.5,2)</f>
        <v>53591.5</v>
      </c>
      <c r="K45" s="4">
        <f>ROUND(56595.43,2)</f>
        <v>56595.43</v>
      </c>
    </row>
    <row r="46" spans="1:11" ht="135.75">
      <c r="A46" s="2" t="s">
        <v>85</v>
      </c>
      <c r="B46" s="3" t="s">
        <v>159</v>
      </c>
      <c r="C46" s="3" t="s">
        <v>379</v>
      </c>
      <c r="D46" s="4">
        <f>ROUND(260000,2)</f>
        <v>260000</v>
      </c>
      <c r="E46" s="4">
        <f t="shared" si="7"/>
        <v>0</v>
      </c>
      <c r="F46" s="4">
        <f>ROUND(260000,2)</f>
        <v>260000</v>
      </c>
      <c r="G46" s="4">
        <f>ROUND(0,2)</f>
        <v>0</v>
      </c>
      <c r="H46" s="4">
        <f>ROUND(53591.5,2)</f>
        <v>53591.5</v>
      </c>
      <c r="I46" s="4">
        <f t="shared" si="8"/>
        <v>0</v>
      </c>
      <c r="J46" s="4">
        <f>ROUND(53591.5,2)</f>
        <v>53591.5</v>
      </c>
      <c r="K46" s="4">
        <f>ROUND(0,2)</f>
        <v>0</v>
      </c>
    </row>
    <row r="47" spans="1:11" ht="126.75">
      <c r="A47" s="2" t="s">
        <v>246</v>
      </c>
      <c r="B47" s="3" t="s">
        <v>391</v>
      </c>
      <c r="C47" s="3" t="s">
        <v>190</v>
      </c>
      <c r="D47" s="4">
        <f>ROUND(413500,2)</f>
        <v>413500</v>
      </c>
      <c r="E47" s="4">
        <f t="shared" si="7"/>
        <v>0</v>
      </c>
      <c r="F47" s="4">
        <f>ROUND(0,2)</f>
        <v>0</v>
      </c>
      <c r="G47" s="4">
        <f>ROUND(413500,2)</f>
        <v>413500</v>
      </c>
      <c r="H47" s="4">
        <f>ROUND(56595.43,2)</f>
        <v>56595.43</v>
      </c>
      <c r="I47" s="4">
        <f t="shared" si="8"/>
        <v>0</v>
      </c>
      <c r="J47" s="4">
        <f>ROUND(0,2)</f>
        <v>0</v>
      </c>
      <c r="K47" s="4">
        <f>ROUND(56595.43,2)</f>
        <v>56595.43</v>
      </c>
    </row>
    <row r="48" spans="1:11" ht="36.75">
      <c r="A48" s="2" t="s">
        <v>271</v>
      </c>
      <c r="B48" s="3" t="s">
        <v>326</v>
      </c>
      <c r="C48" s="3" t="s">
        <v>230</v>
      </c>
      <c r="D48" s="4">
        <f>ROUND(1100000,2)</f>
        <v>1100000</v>
      </c>
      <c r="E48" s="4">
        <f t="shared" si="7"/>
        <v>0</v>
      </c>
      <c r="F48" s="4">
        <f>ROUND(1100000,2)</f>
        <v>1100000</v>
      </c>
      <c r="G48" s="4">
        <f aca="true" t="shared" si="9" ref="G48:G54">ROUND(0,2)</f>
        <v>0</v>
      </c>
      <c r="H48" s="4">
        <f>ROUND(4341.1,2)</f>
        <v>4341.1</v>
      </c>
      <c r="I48" s="4">
        <f t="shared" si="8"/>
        <v>0</v>
      </c>
      <c r="J48" s="4">
        <f>ROUND(4341.1,2)</f>
        <v>4341.1</v>
      </c>
      <c r="K48" s="4">
        <f aca="true" t="shared" si="10" ref="K48:K54">ROUND(0,2)</f>
        <v>0</v>
      </c>
    </row>
    <row r="49" spans="1:11" ht="27.75">
      <c r="A49" s="2" t="s">
        <v>89</v>
      </c>
      <c r="B49" s="3" t="s">
        <v>131</v>
      </c>
      <c r="C49" s="3" t="s">
        <v>285</v>
      </c>
      <c r="D49" s="4">
        <f>ROUND(1100000,2)</f>
        <v>1100000</v>
      </c>
      <c r="E49" s="4">
        <f t="shared" si="7"/>
        <v>0</v>
      </c>
      <c r="F49" s="4">
        <f>ROUND(1100000,2)</f>
        <v>1100000</v>
      </c>
      <c r="G49" s="4">
        <f t="shared" si="9"/>
        <v>0</v>
      </c>
      <c r="H49" s="4">
        <f>ROUND(4341.1,2)</f>
        <v>4341.1</v>
      </c>
      <c r="I49" s="4">
        <f t="shared" si="8"/>
        <v>0</v>
      </c>
      <c r="J49" s="4">
        <f>ROUND(4341.1,2)</f>
        <v>4341.1</v>
      </c>
      <c r="K49" s="4">
        <f t="shared" si="10"/>
        <v>0</v>
      </c>
    </row>
    <row r="50" spans="1:11" ht="45.75">
      <c r="A50" s="2" t="s">
        <v>275</v>
      </c>
      <c r="B50" s="3" t="s">
        <v>33</v>
      </c>
      <c r="C50" s="3" t="s">
        <v>289</v>
      </c>
      <c r="D50" s="4">
        <f>ROUND(100000,2)</f>
        <v>100000</v>
      </c>
      <c r="E50" s="4">
        <f t="shared" si="7"/>
        <v>0</v>
      </c>
      <c r="F50" s="4">
        <f>ROUND(100000,2)</f>
        <v>100000</v>
      </c>
      <c r="G50" s="4">
        <f t="shared" si="9"/>
        <v>0</v>
      </c>
      <c r="H50" s="4">
        <f>ROUND(90.42,2)</f>
        <v>90.42</v>
      </c>
      <c r="I50" s="4">
        <f t="shared" si="8"/>
        <v>0</v>
      </c>
      <c r="J50" s="4">
        <f>ROUND(90.42,2)</f>
        <v>90.42</v>
      </c>
      <c r="K50" s="4">
        <f t="shared" si="10"/>
        <v>0</v>
      </c>
    </row>
    <row r="51" spans="1:11" ht="45.75">
      <c r="A51" s="2" t="s">
        <v>189</v>
      </c>
      <c r="B51" s="3" t="s">
        <v>236</v>
      </c>
      <c r="C51" s="3" t="s">
        <v>75</v>
      </c>
      <c r="D51" s="4">
        <f>ROUND(330000,2)</f>
        <v>330000</v>
      </c>
      <c r="E51" s="4">
        <f t="shared" si="7"/>
        <v>0</v>
      </c>
      <c r="F51" s="4">
        <f>ROUND(330000,2)</f>
        <v>330000</v>
      </c>
      <c r="G51" s="4">
        <f t="shared" si="9"/>
        <v>0</v>
      </c>
      <c r="H51" s="4">
        <f>ROUND(592.59,2)</f>
        <v>592.59</v>
      </c>
      <c r="I51" s="4">
        <f t="shared" si="8"/>
        <v>0</v>
      </c>
      <c r="J51" s="4">
        <f>ROUND(592.59,2)</f>
        <v>592.59</v>
      </c>
      <c r="K51" s="4">
        <f t="shared" si="10"/>
        <v>0</v>
      </c>
    </row>
    <row r="52" spans="1:11" ht="27.75">
      <c r="A52" s="2" t="s">
        <v>351</v>
      </c>
      <c r="B52" s="3" t="s">
        <v>329</v>
      </c>
      <c r="C52" s="3" t="s">
        <v>86</v>
      </c>
      <c r="D52" s="4">
        <f>ROUND(280000,2)</f>
        <v>280000</v>
      </c>
      <c r="E52" s="4">
        <f t="shared" si="7"/>
        <v>0</v>
      </c>
      <c r="F52" s="4">
        <f>ROUND(280000,2)</f>
        <v>280000</v>
      </c>
      <c r="G52" s="4">
        <f t="shared" si="9"/>
        <v>0</v>
      </c>
      <c r="H52" s="4">
        <f>ROUND(1095.6,2)</f>
        <v>1095.6</v>
      </c>
      <c r="I52" s="4">
        <f t="shared" si="8"/>
        <v>0</v>
      </c>
      <c r="J52" s="4">
        <f>ROUND(1095.6,2)</f>
        <v>1095.6</v>
      </c>
      <c r="K52" s="4">
        <f t="shared" si="10"/>
        <v>0</v>
      </c>
    </row>
    <row r="53" spans="1:11" ht="27.75">
      <c r="A53" s="2" t="s">
        <v>147</v>
      </c>
      <c r="B53" s="3" t="s">
        <v>250</v>
      </c>
      <c r="C53" s="3" t="s">
        <v>104</v>
      </c>
      <c r="D53" s="4">
        <f>ROUND(330000,2)</f>
        <v>330000</v>
      </c>
      <c r="E53" s="4">
        <f t="shared" si="7"/>
        <v>0</v>
      </c>
      <c r="F53" s="4">
        <f>ROUND(330000,2)</f>
        <v>330000</v>
      </c>
      <c r="G53" s="4">
        <f t="shared" si="9"/>
        <v>0</v>
      </c>
      <c r="H53" s="4">
        <f>ROUND(2562.49,2)</f>
        <v>2562.49</v>
      </c>
      <c r="I53" s="4">
        <f t="shared" si="8"/>
        <v>0</v>
      </c>
      <c r="J53" s="4">
        <f>ROUND(2562.49,2)</f>
        <v>2562.49</v>
      </c>
      <c r="K53" s="4">
        <f t="shared" si="10"/>
        <v>0</v>
      </c>
    </row>
    <row r="54" spans="1:11" ht="36.75">
      <c r="A54" s="2" t="s">
        <v>314</v>
      </c>
      <c r="B54" s="3" t="s">
        <v>340</v>
      </c>
      <c r="C54" s="3" t="s">
        <v>315</v>
      </c>
      <c r="D54" s="4">
        <f>ROUND(60000,2)</f>
        <v>60000</v>
      </c>
      <c r="E54" s="4">
        <f t="shared" si="7"/>
        <v>0</v>
      </c>
      <c r="F54" s="4">
        <f>ROUND(60000,2)</f>
        <v>60000</v>
      </c>
      <c r="G54" s="4">
        <f t="shared" si="9"/>
        <v>0</v>
      </c>
      <c r="H54" s="4">
        <f>ROUND(0,2)</f>
        <v>0</v>
      </c>
      <c r="I54" s="4">
        <f t="shared" si="8"/>
        <v>0</v>
      </c>
      <c r="J54" s="4">
        <f>ROUND(0,2)</f>
        <v>0</v>
      </c>
      <c r="K54" s="4">
        <f t="shared" si="10"/>
        <v>0</v>
      </c>
    </row>
    <row r="55" spans="1:11" ht="63.75">
      <c r="A55" s="2" t="s">
        <v>401</v>
      </c>
      <c r="B55" s="3" t="s">
        <v>15</v>
      </c>
      <c r="C55" s="3" t="s">
        <v>130</v>
      </c>
      <c r="D55" s="4">
        <f>ROUND(842970,2)</f>
        <v>842970</v>
      </c>
      <c r="E55" s="4">
        <f t="shared" si="7"/>
        <v>0</v>
      </c>
      <c r="F55" s="4">
        <f>ROUND(382970,2)</f>
        <v>382970</v>
      </c>
      <c r="G55" s="4">
        <f>ROUND(460000,2)</f>
        <v>460000</v>
      </c>
      <c r="H55" s="4">
        <f>ROUND(71780,2)</f>
        <v>71780</v>
      </c>
      <c r="I55" s="4">
        <f t="shared" si="8"/>
        <v>0</v>
      </c>
      <c r="J55" s="4">
        <f>ROUND(1170,2)</f>
        <v>1170</v>
      </c>
      <c r="K55" s="4">
        <f>ROUND(70610,2)</f>
        <v>70610</v>
      </c>
    </row>
    <row r="56" spans="1:11" ht="18.75">
      <c r="A56" s="2" t="s">
        <v>109</v>
      </c>
      <c r="B56" s="3" t="s">
        <v>269</v>
      </c>
      <c r="C56" s="3" t="s">
        <v>276</v>
      </c>
      <c r="D56" s="4">
        <f>ROUND(842970,2)</f>
        <v>842970</v>
      </c>
      <c r="E56" s="4">
        <f t="shared" si="7"/>
        <v>0</v>
      </c>
      <c r="F56" s="4">
        <f>ROUND(382970,2)</f>
        <v>382970</v>
      </c>
      <c r="G56" s="4">
        <f>ROUND(460000,2)</f>
        <v>460000</v>
      </c>
      <c r="H56" s="4">
        <f>ROUND(71780,2)</f>
        <v>71780</v>
      </c>
      <c r="I56" s="4">
        <f t="shared" si="8"/>
        <v>0</v>
      </c>
      <c r="J56" s="4">
        <f>ROUND(1170,2)</f>
        <v>1170</v>
      </c>
      <c r="K56" s="4">
        <f>ROUND(70610,2)</f>
        <v>70610</v>
      </c>
    </row>
    <row r="57" spans="1:11" ht="27.75">
      <c r="A57" s="2" t="s">
        <v>249</v>
      </c>
      <c r="B57" s="3" t="s">
        <v>245</v>
      </c>
      <c r="C57" s="3" t="s">
        <v>149</v>
      </c>
      <c r="D57" s="4">
        <f>ROUND(842970,2)</f>
        <v>842970</v>
      </c>
      <c r="E57" s="4">
        <f t="shared" si="7"/>
        <v>0</v>
      </c>
      <c r="F57" s="4">
        <f>ROUND(382970,2)</f>
        <v>382970</v>
      </c>
      <c r="G57" s="4">
        <f>ROUND(460000,2)</f>
        <v>460000</v>
      </c>
      <c r="H57" s="4">
        <f>ROUND(71780,2)</f>
        <v>71780</v>
      </c>
      <c r="I57" s="4">
        <f t="shared" si="8"/>
        <v>0</v>
      </c>
      <c r="J57" s="4">
        <f>ROUND(1170,2)</f>
        <v>1170</v>
      </c>
      <c r="K57" s="4">
        <f>ROUND(70610,2)</f>
        <v>70610</v>
      </c>
    </row>
    <row r="58" spans="1:11" ht="63.75">
      <c r="A58" s="2" t="s">
        <v>34</v>
      </c>
      <c r="B58" s="3" t="s">
        <v>248</v>
      </c>
      <c r="C58" s="3" t="s">
        <v>166</v>
      </c>
      <c r="D58" s="4">
        <f>ROUND(382970,2)</f>
        <v>382970</v>
      </c>
      <c r="E58" s="4">
        <f t="shared" si="7"/>
        <v>0</v>
      </c>
      <c r="F58" s="4">
        <f>ROUND(382970,2)</f>
        <v>382970</v>
      </c>
      <c r="G58" s="4">
        <f>ROUND(0,2)</f>
        <v>0</v>
      </c>
      <c r="H58" s="4">
        <f>ROUND(1170,2)</f>
        <v>1170</v>
      </c>
      <c r="I58" s="4">
        <f t="shared" si="8"/>
        <v>0</v>
      </c>
      <c r="J58" s="4">
        <f>ROUND(1170,2)</f>
        <v>1170</v>
      </c>
      <c r="K58" s="4">
        <f>ROUND(0,2)</f>
        <v>0</v>
      </c>
    </row>
    <row r="59" spans="1:11" ht="45.75">
      <c r="A59" s="2" t="s">
        <v>210</v>
      </c>
      <c r="B59" s="3" t="s">
        <v>17</v>
      </c>
      <c r="C59" s="3" t="s">
        <v>364</v>
      </c>
      <c r="D59" s="4">
        <f>ROUND(460000,2)</f>
        <v>460000</v>
      </c>
      <c r="E59" s="4">
        <f t="shared" si="7"/>
        <v>0</v>
      </c>
      <c r="F59" s="4">
        <f>ROUND(0,2)</f>
        <v>0</v>
      </c>
      <c r="G59" s="4">
        <f>ROUND(460000,2)</f>
        <v>460000</v>
      </c>
      <c r="H59" s="4">
        <f>ROUND(70610,2)</f>
        <v>70610</v>
      </c>
      <c r="I59" s="4">
        <f t="shared" si="8"/>
        <v>0</v>
      </c>
      <c r="J59" s="4">
        <f>ROUND(0,2)</f>
        <v>0</v>
      </c>
      <c r="K59" s="4">
        <f>ROUND(70610,2)</f>
        <v>70610</v>
      </c>
    </row>
    <row r="60" spans="1:11" ht="45.75">
      <c r="A60" s="2" t="s">
        <v>396</v>
      </c>
      <c r="B60" s="3" t="s">
        <v>262</v>
      </c>
      <c r="C60" s="3" t="s">
        <v>18</v>
      </c>
      <c r="D60" s="4">
        <f>ROUND(4650326,2)</f>
        <v>4650326</v>
      </c>
      <c r="E60" s="4">
        <f t="shared" si="7"/>
        <v>0</v>
      </c>
      <c r="F60" s="4">
        <f>ROUND(3300000,2)</f>
        <v>3300000</v>
      </c>
      <c r="G60" s="4">
        <f>ROUND(1350326,2)</f>
        <v>1350326</v>
      </c>
      <c r="H60" s="4">
        <f>ROUND(56523.85,2)</f>
        <v>56523.85</v>
      </c>
      <c r="I60" s="4">
        <f t="shared" si="8"/>
        <v>0</v>
      </c>
      <c r="J60" s="4">
        <f>ROUND(23480.32,2)</f>
        <v>23480.32</v>
      </c>
      <c r="K60" s="4">
        <f>ROUND(33043.53,2)</f>
        <v>33043.53</v>
      </c>
    </row>
    <row r="61" spans="1:11" ht="153.75">
      <c r="A61" s="2" t="s">
        <v>310</v>
      </c>
      <c r="B61" s="3" t="s">
        <v>140</v>
      </c>
      <c r="C61" s="3" t="s">
        <v>14</v>
      </c>
      <c r="D61" s="4">
        <f>ROUND(700000,2)</f>
        <v>700000</v>
      </c>
      <c r="E61" s="4">
        <f t="shared" si="7"/>
        <v>0</v>
      </c>
      <c r="F61" s="4">
        <f>ROUND(300000,2)</f>
        <v>300000</v>
      </c>
      <c r="G61" s="4">
        <f>ROUND(400000,2)</f>
        <v>400000</v>
      </c>
      <c r="H61" s="4">
        <f>ROUND(0,2)</f>
        <v>0</v>
      </c>
      <c r="I61" s="4">
        <f t="shared" si="8"/>
        <v>0</v>
      </c>
      <c r="J61" s="4">
        <f aca="true" t="shared" si="11" ref="J61:K65">ROUND(0,2)</f>
        <v>0</v>
      </c>
      <c r="K61" s="4">
        <f t="shared" si="11"/>
        <v>0</v>
      </c>
    </row>
    <row r="62" spans="1:11" ht="189.75">
      <c r="A62" s="2" t="s">
        <v>359</v>
      </c>
      <c r="B62" s="3" t="s">
        <v>144</v>
      </c>
      <c r="C62" s="3" t="s">
        <v>29</v>
      </c>
      <c r="D62" s="4">
        <f>ROUND(300000,2)</f>
        <v>300000</v>
      </c>
      <c r="E62" s="4">
        <f t="shared" si="7"/>
        <v>0</v>
      </c>
      <c r="F62" s="4">
        <f>ROUND(300000,2)</f>
        <v>300000</v>
      </c>
      <c r="G62" s="4">
        <f>ROUND(0,2)</f>
        <v>0</v>
      </c>
      <c r="H62" s="4">
        <f>ROUND(0,2)</f>
        <v>0</v>
      </c>
      <c r="I62" s="4">
        <f t="shared" si="8"/>
        <v>0</v>
      </c>
      <c r="J62" s="4">
        <f t="shared" si="11"/>
        <v>0</v>
      </c>
      <c r="K62" s="4">
        <f t="shared" si="11"/>
        <v>0</v>
      </c>
    </row>
    <row r="63" spans="1:11" ht="189.75">
      <c r="A63" s="2" t="s">
        <v>309</v>
      </c>
      <c r="B63" s="3" t="s">
        <v>268</v>
      </c>
      <c r="C63" s="3" t="s">
        <v>187</v>
      </c>
      <c r="D63" s="4">
        <f>ROUND(300000,2)</f>
        <v>300000</v>
      </c>
      <c r="E63" s="4">
        <f t="shared" si="7"/>
        <v>0</v>
      </c>
      <c r="F63" s="4">
        <f>ROUND(300000,2)</f>
        <v>300000</v>
      </c>
      <c r="G63" s="4">
        <f>ROUND(0,2)</f>
        <v>0</v>
      </c>
      <c r="H63" s="4">
        <f>ROUND(0,2)</f>
        <v>0</v>
      </c>
      <c r="I63" s="4">
        <f t="shared" si="8"/>
        <v>0</v>
      </c>
      <c r="J63" s="4">
        <f t="shared" si="11"/>
        <v>0</v>
      </c>
      <c r="K63" s="4">
        <f t="shared" si="11"/>
        <v>0</v>
      </c>
    </row>
    <row r="64" spans="1:11" ht="180.75">
      <c r="A64" s="2" t="s">
        <v>100</v>
      </c>
      <c r="B64" s="3" t="s">
        <v>313</v>
      </c>
      <c r="C64" s="3" t="s">
        <v>224</v>
      </c>
      <c r="D64" s="4">
        <f>ROUND(400000,2)</f>
        <v>400000</v>
      </c>
      <c r="E64" s="4">
        <f t="shared" si="7"/>
        <v>0</v>
      </c>
      <c r="F64" s="4">
        <f>ROUND(0,2)</f>
        <v>0</v>
      </c>
      <c r="G64" s="4">
        <f>ROUND(400000,2)</f>
        <v>400000</v>
      </c>
      <c r="H64" s="4">
        <f>ROUND(0,2)</f>
        <v>0</v>
      </c>
      <c r="I64" s="4">
        <f t="shared" si="8"/>
        <v>0</v>
      </c>
      <c r="J64" s="4">
        <f t="shared" si="11"/>
        <v>0</v>
      </c>
      <c r="K64" s="4">
        <f t="shared" si="11"/>
        <v>0</v>
      </c>
    </row>
    <row r="65" spans="1:11" ht="180.75">
      <c r="A65" s="2" t="s">
        <v>38</v>
      </c>
      <c r="B65" s="3" t="s">
        <v>97</v>
      </c>
      <c r="C65" s="3" t="s">
        <v>343</v>
      </c>
      <c r="D65" s="4">
        <f>ROUND(400000,2)</f>
        <v>400000</v>
      </c>
      <c r="E65" s="4">
        <f t="shared" si="7"/>
        <v>0</v>
      </c>
      <c r="F65" s="4">
        <f>ROUND(0,2)</f>
        <v>0</v>
      </c>
      <c r="G65" s="4">
        <f>ROUND(400000,2)</f>
        <v>400000</v>
      </c>
      <c r="H65" s="4">
        <f>ROUND(0,2)</f>
        <v>0</v>
      </c>
      <c r="I65" s="4">
        <f t="shared" si="8"/>
        <v>0</v>
      </c>
      <c r="J65" s="4">
        <f t="shared" si="11"/>
        <v>0</v>
      </c>
      <c r="K65" s="4">
        <f t="shared" si="11"/>
        <v>0</v>
      </c>
    </row>
    <row r="66" spans="1:11" ht="99.75">
      <c r="A66" s="2" t="s">
        <v>318</v>
      </c>
      <c r="B66" s="3" t="s">
        <v>258</v>
      </c>
      <c r="C66" s="3" t="s">
        <v>256</v>
      </c>
      <c r="D66" s="4">
        <f>ROUND(3950326,2)</f>
        <v>3950326</v>
      </c>
      <c r="E66" s="4">
        <f t="shared" si="7"/>
        <v>0</v>
      </c>
      <c r="F66" s="4">
        <f>ROUND(3000000,2)</f>
        <v>3000000</v>
      </c>
      <c r="G66" s="4">
        <f>ROUND(950326,2)</f>
        <v>950326</v>
      </c>
      <c r="H66" s="4">
        <f>ROUND(56523.85,2)</f>
        <v>56523.85</v>
      </c>
      <c r="I66" s="4">
        <f t="shared" si="8"/>
        <v>0</v>
      </c>
      <c r="J66" s="4">
        <f>ROUND(23480.32,2)</f>
        <v>23480.32</v>
      </c>
      <c r="K66" s="4">
        <f>ROUND(33043.53,2)</f>
        <v>33043.53</v>
      </c>
    </row>
    <row r="67" spans="1:11" ht="63.75">
      <c r="A67" s="2" t="s">
        <v>188</v>
      </c>
      <c r="B67" s="3" t="s">
        <v>361</v>
      </c>
      <c r="C67" s="3" t="s">
        <v>2</v>
      </c>
      <c r="D67" s="4">
        <f>ROUND(1300326,2)</f>
        <v>1300326</v>
      </c>
      <c r="E67" s="4">
        <f t="shared" si="7"/>
        <v>0</v>
      </c>
      <c r="F67" s="4">
        <f>ROUND(650000,2)</f>
        <v>650000</v>
      </c>
      <c r="G67" s="4">
        <f>ROUND(650326,2)</f>
        <v>650326</v>
      </c>
      <c r="H67" s="4">
        <f>ROUND(54525.3,2)</f>
        <v>54525.3</v>
      </c>
      <c r="I67" s="4">
        <f t="shared" si="8"/>
        <v>0</v>
      </c>
      <c r="J67" s="4">
        <f>ROUND(23480.32,2)</f>
        <v>23480.32</v>
      </c>
      <c r="K67" s="4">
        <f>ROUND(31044.98,2)</f>
        <v>31044.98</v>
      </c>
    </row>
    <row r="68" spans="1:11" ht="72.75">
      <c r="A68" s="2" t="s">
        <v>178</v>
      </c>
      <c r="B68" s="3" t="s">
        <v>231</v>
      </c>
      <c r="C68" s="3" t="s">
        <v>54</v>
      </c>
      <c r="D68" s="4">
        <f>ROUND(1300326,2)</f>
        <v>1300326</v>
      </c>
      <c r="E68" s="4">
        <f t="shared" si="7"/>
        <v>0</v>
      </c>
      <c r="F68" s="4">
        <f>ROUND(650000,2)</f>
        <v>650000</v>
      </c>
      <c r="G68" s="4">
        <f>ROUND(650326,2)</f>
        <v>650326</v>
      </c>
      <c r="H68" s="4">
        <f>ROUND(54525.3,2)</f>
        <v>54525.3</v>
      </c>
      <c r="I68" s="4">
        <f t="shared" si="8"/>
        <v>0</v>
      </c>
      <c r="J68" s="4">
        <f>ROUND(23480.32,2)</f>
        <v>23480.32</v>
      </c>
      <c r="K68" s="4">
        <f>ROUND(31044.98,2)</f>
        <v>31044.98</v>
      </c>
    </row>
    <row r="69" spans="1:11" ht="90.75">
      <c r="A69" s="2" t="s">
        <v>400</v>
      </c>
      <c r="B69" s="3" t="s">
        <v>156</v>
      </c>
      <c r="C69" s="3" t="s">
        <v>363</v>
      </c>
      <c r="D69" s="4">
        <f>ROUND(2650000,2)</f>
        <v>2650000</v>
      </c>
      <c r="E69" s="4">
        <f t="shared" si="7"/>
        <v>0</v>
      </c>
      <c r="F69" s="4">
        <f>ROUND(2350000,2)</f>
        <v>2350000</v>
      </c>
      <c r="G69" s="4">
        <f>ROUND(300000,2)</f>
        <v>300000</v>
      </c>
      <c r="H69" s="4">
        <f>ROUND(1998.55,2)</f>
        <v>1998.55</v>
      </c>
      <c r="I69" s="4">
        <f t="shared" si="8"/>
        <v>0</v>
      </c>
      <c r="J69" s="4">
        <f>ROUND(0,2)</f>
        <v>0</v>
      </c>
      <c r="K69" s="4">
        <f>ROUND(1998.55,2)</f>
        <v>1998.55</v>
      </c>
    </row>
    <row r="70" spans="1:11" ht="108.75">
      <c r="A70" s="2" t="s">
        <v>287</v>
      </c>
      <c r="B70" s="3" t="s">
        <v>160</v>
      </c>
      <c r="C70" s="3" t="s">
        <v>128</v>
      </c>
      <c r="D70" s="4">
        <f>ROUND(2350000,2)</f>
        <v>2350000</v>
      </c>
      <c r="E70" s="4">
        <f aca="true" t="shared" si="12" ref="E70:E91">ROUND(0,2)</f>
        <v>0</v>
      </c>
      <c r="F70" s="4">
        <f>ROUND(2350000,2)</f>
        <v>2350000</v>
      </c>
      <c r="G70" s="4">
        <f>ROUND(0,2)</f>
        <v>0</v>
      </c>
      <c r="H70" s="4">
        <f>ROUND(0,2)</f>
        <v>0</v>
      </c>
      <c r="I70" s="4">
        <f aca="true" t="shared" si="13" ref="I70:I91">ROUND(0,2)</f>
        <v>0</v>
      </c>
      <c r="J70" s="4">
        <f>ROUND(0,2)</f>
        <v>0</v>
      </c>
      <c r="K70" s="4">
        <f>ROUND(0,2)</f>
        <v>0</v>
      </c>
    </row>
    <row r="71" spans="1:11" ht="99.75">
      <c r="A71" s="2" t="s">
        <v>56</v>
      </c>
      <c r="B71" s="3" t="s">
        <v>381</v>
      </c>
      <c r="C71" s="3" t="s">
        <v>117</v>
      </c>
      <c r="D71" s="4">
        <f>ROUND(300000,2)</f>
        <v>300000</v>
      </c>
      <c r="E71" s="4">
        <f t="shared" si="12"/>
        <v>0</v>
      </c>
      <c r="F71" s="4">
        <f>ROUND(0,2)</f>
        <v>0</v>
      </c>
      <c r="G71" s="4">
        <f>ROUND(300000,2)</f>
        <v>300000</v>
      </c>
      <c r="H71" s="4">
        <f>ROUND(1998.55,2)</f>
        <v>1998.55</v>
      </c>
      <c r="I71" s="4">
        <f t="shared" si="13"/>
        <v>0</v>
      </c>
      <c r="J71" s="4">
        <f>ROUND(0,2)</f>
        <v>0</v>
      </c>
      <c r="K71" s="4">
        <f>ROUND(1998.55,2)</f>
        <v>1998.55</v>
      </c>
    </row>
    <row r="72" spans="1:11" ht="27.75">
      <c r="A72" s="2" t="s">
        <v>218</v>
      </c>
      <c r="B72" s="3" t="s">
        <v>102</v>
      </c>
      <c r="C72" s="3" t="s">
        <v>213</v>
      </c>
      <c r="D72" s="4">
        <f>ROUND(1900000,2)</f>
        <v>1900000</v>
      </c>
      <c r="E72" s="4">
        <f t="shared" si="12"/>
        <v>0</v>
      </c>
      <c r="F72" s="4">
        <f>ROUND(1900000,2)</f>
        <v>1900000</v>
      </c>
      <c r="G72" s="4">
        <f aca="true" t="shared" si="14" ref="G72:G84">ROUND(0,2)</f>
        <v>0</v>
      </c>
      <c r="H72" s="4">
        <f>ROUND(138100,2)</f>
        <v>138100</v>
      </c>
      <c r="I72" s="4">
        <f t="shared" si="13"/>
        <v>0</v>
      </c>
      <c r="J72" s="4">
        <f>ROUND(138100,2)</f>
        <v>138100</v>
      </c>
      <c r="K72" s="4">
        <f aca="true" t="shared" si="15" ref="K72:K84">ROUND(0,2)</f>
        <v>0</v>
      </c>
    </row>
    <row r="73" spans="1:11" ht="45.75">
      <c r="A73" s="2" t="s">
        <v>348</v>
      </c>
      <c r="B73" s="3" t="s">
        <v>335</v>
      </c>
      <c r="C73" s="3" t="s">
        <v>320</v>
      </c>
      <c r="D73" s="4">
        <f>ROUND(20000,2)</f>
        <v>20000</v>
      </c>
      <c r="E73" s="4">
        <f t="shared" si="12"/>
        <v>0</v>
      </c>
      <c r="F73" s="4">
        <f>ROUND(20000,2)</f>
        <v>20000</v>
      </c>
      <c r="G73" s="4">
        <f t="shared" si="14"/>
        <v>0</v>
      </c>
      <c r="H73" s="4">
        <f>ROUND(800,2)</f>
        <v>800</v>
      </c>
      <c r="I73" s="4">
        <f t="shared" si="13"/>
        <v>0</v>
      </c>
      <c r="J73" s="4">
        <f>ROUND(800,2)</f>
        <v>800</v>
      </c>
      <c r="K73" s="4">
        <f t="shared" si="15"/>
        <v>0</v>
      </c>
    </row>
    <row r="74" spans="1:11" ht="198.75">
      <c r="A74" s="2" t="s">
        <v>116</v>
      </c>
      <c r="B74" s="3" t="s">
        <v>390</v>
      </c>
      <c r="C74" s="3" t="s">
        <v>170</v>
      </c>
      <c r="D74" s="4">
        <f>ROUND(20000,2)</f>
        <v>20000</v>
      </c>
      <c r="E74" s="4">
        <f t="shared" si="12"/>
        <v>0</v>
      </c>
      <c r="F74" s="4">
        <f>ROUND(20000,2)</f>
        <v>20000</v>
      </c>
      <c r="G74" s="4">
        <f t="shared" si="14"/>
        <v>0</v>
      </c>
      <c r="H74" s="4">
        <f>ROUND(800,2)</f>
        <v>800</v>
      </c>
      <c r="I74" s="4">
        <f t="shared" si="13"/>
        <v>0</v>
      </c>
      <c r="J74" s="4">
        <f>ROUND(800,2)</f>
        <v>800</v>
      </c>
      <c r="K74" s="4">
        <f t="shared" si="15"/>
        <v>0</v>
      </c>
    </row>
    <row r="75" spans="1:11" ht="117.75">
      <c r="A75" s="2" t="s">
        <v>370</v>
      </c>
      <c r="B75" s="3" t="s">
        <v>25</v>
      </c>
      <c r="C75" s="3" t="s">
        <v>138</v>
      </c>
      <c r="D75" s="4">
        <f>ROUND(20000,2)</f>
        <v>20000</v>
      </c>
      <c r="E75" s="4">
        <f t="shared" si="12"/>
        <v>0</v>
      </c>
      <c r="F75" s="4">
        <f>ROUND(20000,2)</f>
        <v>20000</v>
      </c>
      <c r="G75" s="4">
        <f t="shared" si="14"/>
        <v>0</v>
      </c>
      <c r="H75" s="4">
        <f>ROUND(6000,2)</f>
        <v>6000</v>
      </c>
      <c r="I75" s="4">
        <f t="shared" si="13"/>
        <v>0</v>
      </c>
      <c r="J75" s="4">
        <f>ROUND(6000,2)</f>
        <v>6000</v>
      </c>
      <c r="K75" s="4">
        <f t="shared" si="15"/>
        <v>0</v>
      </c>
    </row>
    <row r="76" spans="1:11" ht="180.75">
      <c r="A76" s="2" t="s">
        <v>40</v>
      </c>
      <c r="B76" s="3" t="s">
        <v>107</v>
      </c>
      <c r="C76" s="3" t="s">
        <v>365</v>
      </c>
      <c r="D76" s="4">
        <f>ROUND(160000,2)</f>
        <v>160000</v>
      </c>
      <c r="E76" s="4">
        <f t="shared" si="12"/>
        <v>0</v>
      </c>
      <c r="F76" s="4">
        <f>ROUND(160000,2)</f>
        <v>160000</v>
      </c>
      <c r="G76" s="4">
        <f t="shared" si="14"/>
        <v>0</v>
      </c>
      <c r="H76" s="4">
        <f aca="true" t="shared" si="16" ref="H76:H81">ROUND(0,2)</f>
        <v>0</v>
      </c>
      <c r="I76" s="4">
        <f t="shared" si="13"/>
        <v>0</v>
      </c>
      <c r="J76" s="4">
        <f aca="true" t="shared" si="17" ref="J76:J81">ROUND(0,2)</f>
        <v>0</v>
      </c>
      <c r="K76" s="4">
        <f t="shared" si="15"/>
        <v>0</v>
      </c>
    </row>
    <row r="77" spans="1:11" ht="54.75">
      <c r="A77" s="2" t="s">
        <v>207</v>
      </c>
      <c r="B77" s="3" t="s">
        <v>174</v>
      </c>
      <c r="C77" s="3" t="s">
        <v>142</v>
      </c>
      <c r="D77" s="4">
        <f>ROUND(60000,2)</f>
        <v>60000</v>
      </c>
      <c r="E77" s="4">
        <f t="shared" si="12"/>
        <v>0</v>
      </c>
      <c r="F77" s="4">
        <f>ROUND(60000,2)</f>
        <v>60000</v>
      </c>
      <c r="G77" s="4">
        <f t="shared" si="14"/>
        <v>0</v>
      </c>
      <c r="H77" s="4">
        <f t="shared" si="16"/>
        <v>0</v>
      </c>
      <c r="I77" s="4">
        <f t="shared" si="13"/>
        <v>0</v>
      </c>
      <c r="J77" s="4">
        <f t="shared" si="17"/>
        <v>0</v>
      </c>
      <c r="K77" s="4">
        <f t="shared" si="15"/>
        <v>0</v>
      </c>
    </row>
    <row r="78" spans="1:11" ht="72.75">
      <c r="A78" s="2" t="s">
        <v>37</v>
      </c>
      <c r="B78" s="3" t="s">
        <v>374</v>
      </c>
      <c r="C78" s="3" t="s">
        <v>27</v>
      </c>
      <c r="D78" s="4">
        <f>ROUND(40000,2)</f>
        <v>40000</v>
      </c>
      <c r="E78" s="4">
        <f t="shared" si="12"/>
        <v>0</v>
      </c>
      <c r="F78" s="4">
        <f>ROUND(40000,2)</f>
        <v>40000</v>
      </c>
      <c r="G78" s="4">
        <f t="shared" si="14"/>
        <v>0</v>
      </c>
      <c r="H78" s="4">
        <f t="shared" si="16"/>
        <v>0</v>
      </c>
      <c r="I78" s="4">
        <f t="shared" si="13"/>
        <v>0</v>
      </c>
      <c r="J78" s="4">
        <f t="shared" si="17"/>
        <v>0</v>
      </c>
      <c r="K78" s="4">
        <f t="shared" si="15"/>
        <v>0</v>
      </c>
    </row>
    <row r="79" spans="1:11" ht="72.75">
      <c r="A79" s="2" t="s">
        <v>215</v>
      </c>
      <c r="B79" s="3" t="s">
        <v>279</v>
      </c>
      <c r="C79" s="3" t="s">
        <v>235</v>
      </c>
      <c r="D79" s="4">
        <f>ROUND(20000,2)</f>
        <v>20000</v>
      </c>
      <c r="E79" s="4">
        <f t="shared" si="12"/>
        <v>0</v>
      </c>
      <c r="F79" s="4">
        <f>ROUND(20000,2)</f>
        <v>20000</v>
      </c>
      <c r="G79" s="4">
        <f t="shared" si="14"/>
        <v>0</v>
      </c>
      <c r="H79" s="4">
        <f t="shared" si="16"/>
        <v>0</v>
      </c>
      <c r="I79" s="4">
        <f t="shared" si="13"/>
        <v>0</v>
      </c>
      <c r="J79" s="4">
        <f t="shared" si="17"/>
        <v>0</v>
      </c>
      <c r="K79" s="4">
        <f t="shared" si="15"/>
        <v>0</v>
      </c>
    </row>
    <row r="80" spans="1:11" ht="54.75">
      <c r="A80" s="2" t="s">
        <v>392</v>
      </c>
      <c r="B80" s="3" t="s">
        <v>261</v>
      </c>
      <c r="C80" s="3" t="s">
        <v>26</v>
      </c>
      <c r="D80" s="4">
        <f>ROUND(20000,2)</f>
        <v>20000</v>
      </c>
      <c r="E80" s="4">
        <f t="shared" si="12"/>
        <v>0</v>
      </c>
      <c r="F80" s="4">
        <f>ROUND(20000,2)</f>
        <v>20000</v>
      </c>
      <c r="G80" s="4">
        <f t="shared" si="14"/>
        <v>0</v>
      </c>
      <c r="H80" s="4">
        <f t="shared" si="16"/>
        <v>0</v>
      </c>
      <c r="I80" s="4">
        <f t="shared" si="13"/>
        <v>0</v>
      </c>
      <c r="J80" s="4">
        <f t="shared" si="17"/>
        <v>0</v>
      </c>
      <c r="K80" s="4">
        <f t="shared" si="15"/>
        <v>0</v>
      </c>
    </row>
    <row r="81" spans="1:11" ht="36.75">
      <c r="A81" s="2" t="s">
        <v>123</v>
      </c>
      <c r="B81" s="3" t="s">
        <v>60</v>
      </c>
      <c r="C81" s="3" t="s">
        <v>126</v>
      </c>
      <c r="D81" s="4">
        <f>ROUND(20000,2)</f>
        <v>20000</v>
      </c>
      <c r="E81" s="4">
        <f t="shared" si="12"/>
        <v>0</v>
      </c>
      <c r="F81" s="4">
        <f>ROUND(20000,2)</f>
        <v>20000</v>
      </c>
      <c r="G81" s="4">
        <f t="shared" si="14"/>
        <v>0</v>
      </c>
      <c r="H81" s="4">
        <f t="shared" si="16"/>
        <v>0</v>
      </c>
      <c r="I81" s="4">
        <f t="shared" si="13"/>
        <v>0</v>
      </c>
      <c r="J81" s="4">
        <f t="shared" si="17"/>
        <v>0</v>
      </c>
      <c r="K81" s="4">
        <f t="shared" si="15"/>
        <v>0</v>
      </c>
    </row>
    <row r="82" spans="1:11" ht="108.75">
      <c r="A82" s="2" t="s">
        <v>0</v>
      </c>
      <c r="B82" s="3" t="s">
        <v>42</v>
      </c>
      <c r="C82" s="3" t="s">
        <v>352</v>
      </c>
      <c r="D82" s="4">
        <f>ROUND(200000,2)</f>
        <v>200000</v>
      </c>
      <c r="E82" s="4">
        <f t="shared" si="12"/>
        <v>0</v>
      </c>
      <c r="F82" s="4">
        <f>ROUND(200000,2)</f>
        <v>200000</v>
      </c>
      <c r="G82" s="4">
        <f t="shared" si="14"/>
        <v>0</v>
      </c>
      <c r="H82" s="4">
        <f>ROUND(17500,2)</f>
        <v>17500</v>
      </c>
      <c r="I82" s="4">
        <f t="shared" si="13"/>
        <v>0</v>
      </c>
      <c r="J82" s="4">
        <f>ROUND(17500,2)</f>
        <v>17500</v>
      </c>
      <c r="K82" s="4">
        <f t="shared" si="15"/>
        <v>0</v>
      </c>
    </row>
    <row r="83" spans="1:11" ht="45.75">
      <c r="A83" s="2" t="s">
        <v>80</v>
      </c>
      <c r="B83" s="3" t="s">
        <v>217</v>
      </c>
      <c r="C83" s="3" t="s">
        <v>327</v>
      </c>
      <c r="D83" s="4">
        <f>ROUND(1500000,2)</f>
        <v>1500000</v>
      </c>
      <c r="E83" s="4">
        <f t="shared" si="12"/>
        <v>0</v>
      </c>
      <c r="F83" s="4">
        <f>ROUND(1500000,2)</f>
        <v>1500000</v>
      </c>
      <c r="G83" s="4">
        <f t="shared" si="14"/>
        <v>0</v>
      </c>
      <c r="H83" s="4">
        <f>ROUND(113800,2)</f>
        <v>113800</v>
      </c>
      <c r="I83" s="4">
        <f t="shared" si="13"/>
        <v>0</v>
      </c>
      <c r="J83" s="4">
        <f>ROUND(113800,2)</f>
        <v>113800</v>
      </c>
      <c r="K83" s="4">
        <f t="shared" si="15"/>
        <v>0</v>
      </c>
    </row>
    <row r="84" spans="1:11" ht="81.75">
      <c r="A84" s="2" t="s">
        <v>306</v>
      </c>
      <c r="B84" s="3" t="s">
        <v>51</v>
      </c>
      <c r="C84" s="3" t="s">
        <v>252</v>
      </c>
      <c r="D84" s="4">
        <f>ROUND(1500000,2)</f>
        <v>1500000</v>
      </c>
      <c r="E84" s="4">
        <f t="shared" si="12"/>
        <v>0</v>
      </c>
      <c r="F84" s="4">
        <f>ROUND(1500000,2)</f>
        <v>1500000</v>
      </c>
      <c r="G84" s="4">
        <f t="shared" si="14"/>
        <v>0</v>
      </c>
      <c r="H84" s="4">
        <f>ROUND(113800,2)</f>
        <v>113800</v>
      </c>
      <c r="I84" s="4">
        <f t="shared" si="13"/>
        <v>0</v>
      </c>
      <c r="J84" s="4">
        <f>ROUND(113800,2)</f>
        <v>113800</v>
      </c>
      <c r="K84" s="4">
        <f t="shared" si="15"/>
        <v>0</v>
      </c>
    </row>
    <row r="85" spans="1:11" ht="27.75">
      <c r="A85" s="2" t="s">
        <v>44</v>
      </c>
      <c r="B85" s="3" t="s">
        <v>234</v>
      </c>
      <c r="C85" s="3" t="s">
        <v>21</v>
      </c>
      <c r="D85" s="4">
        <f>ROUND(6353232,2)</f>
        <v>6353232</v>
      </c>
      <c r="E85" s="4">
        <f t="shared" si="12"/>
        <v>0</v>
      </c>
      <c r="F85" s="4">
        <f>ROUND(5081000,2)</f>
        <v>5081000</v>
      </c>
      <c r="G85" s="4">
        <f>ROUND(1272232,2)</f>
        <v>1272232</v>
      </c>
      <c r="H85" s="4">
        <f>ROUND(1110040.76,2)</f>
        <v>1110040.76</v>
      </c>
      <c r="I85" s="4">
        <f t="shared" si="13"/>
        <v>0</v>
      </c>
      <c r="J85" s="4">
        <f>ROUND(469821.6,2)</f>
        <v>469821.6</v>
      </c>
      <c r="K85" s="4">
        <f>ROUND(640219.16,2)</f>
        <v>640219.16</v>
      </c>
    </row>
    <row r="86" spans="1:11" ht="18.75">
      <c r="A86" s="2" t="s">
        <v>203</v>
      </c>
      <c r="B86" s="3" t="s">
        <v>386</v>
      </c>
      <c r="C86" s="3" t="s">
        <v>228</v>
      </c>
      <c r="D86" s="4">
        <f>ROUND(0,2)</f>
        <v>0</v>
      </c>
      <c r="E86" s="4">
        <f t="shared" si="12"/>
        <v>0</v>
      </c>
      <c r="F86" s="4">
        <f aca="true" t="shared" si="18" ref="F86:G88">ROUND(0,2)</f>
        <v>0</v>
      </c>
      <c r="G86" s="4">
        <f t="shared" si="18"/>
        <v>0</v>
      </c>
      <c r="H86" s="4">
        <f>ROUND(-396448.21,2)</f>
        <v>-396448.21</v>
      </c>
      <c r="I86" s="4">
        <f t="shared" si="13"/>
        <v>0</v>
      </c>
      <c r="J86" s="4">
        <f>ROUND(-416000,2)</f>
        <v>-416000</v>
      </c>
      <c r="K86" s="4">
        <f>ROUND(19551.79,2)</f>
        <v>19551.79</v>
      </c>
    </row>
    <row r="87" spans="1:11" ht="54.75">
      <c r="A87" s="2" t="s">
        <v>61</v>
      </c>
      <c r="B87" s="3" t="s">
        <v>180</v>
      </c>
      <c r="C87" s="3" t="s">
        <v>154</v>
      </c>
      <c r="D87" s="4">
        <f>ROUND(0,2)</f>
        <v>0</v>
      </c>
      <c r="E87" s="4">
        <f t="shared" si="12"/>
        <v>0</v>
      </c>
      <c r="F87" s="4">
        <f t="shared" si="18"/>
        <v>0</v>
      </c>
      <c r="G87" s="4">
        <f t="shared" si="18"/>
        <v>0</v>
      </c>
      <c r="H87" s="4">
        <f>ROUND(-416000,2)</f>
        <v>-416000</v>
      </c>
      <c r="I87" s="4">
        <f t="shared" si="13"/>
        <v>0</v>
      </c>
      <c r="J87" s="4">
        <f>ROUND(-416000,2)</f>
        <v>-416000</v>
      </c>
      <c r="K87" s="4">
        <f>ROUND(0,2)</f>
        <v>0</v>
      </c>
    </row>
    <row r="88" spans="1:11" ht="36.75">
      <c r="A88" s="2" t="s">
        <v>286</v>
      </c>
      <c r="B88" s="3" t="s">
        <v>398</v>
      </c>
      <c r="C88" s="3" t="s">
        <v>332</v>
      </c>
      <c r="D88" s="4">
        <f>ROUND(0,2)</f>
        <v>0</v>
      </c>
      <c r="E88" s="4">
        <f t="shared" si="12"/>
        <v>0</v>
      </c>
      <c r="F88" s="4">
        <f t="shared" si="18"/>
        <v>0</v>
      </c>
      <c r="G88" s="4">
        <f t="shared" si="18"/>
        <v>0</v>
      </c>
      <c r="H88" s="4">
        <f>ROUND(19551.79,2)</f>
        <v>19551.79</v>
      </c>
      <c r="I88" s="4">
        <f t="shared" si="13"/>
        <v>0</v>
      </c>
      <c r="J88" s="4">
        <f>ROUND(0,2)</f>
        <v>0</v>
      </c>
      <c r="K88" s="4">
        <f>ROUND(19551.79,2)</f>
        <v>19551.79</v>
      </c>
    </row>
    <row r="89" spans="1:11" ht="18.75">
      <c r="A89" s="2" t="s">
        <v>165</v>
      </c>
      <c r="B89" s="3" t="s">
        <v>31</v>
      </c>
      <c r="C89" s="3" t="s">
        <v>337</v>
      </c>
      <c r="D89" s="4">
        <f>ROUND(6353232,2)</f>
        <v>6353232</v>
      </c>
      <c r="E89" s="4">
        <f t="shared" si="12"/>
        <v>0</v>
      </c>
      <c r="F89" s="4">
        <f>ROUND(5081000,2)</f>
        <v>5081000</v>
      </c>
      <c r="G89" s="4">
        <f>ROUND(1272232,2)</f>
        <v>1272232</v>
      </c>
      <c r="H89" s="4">
        <f>ROUND(1506488.97,2)</f>
        <v>1506488.97</v>
      </c>
      <c r="I89" s="4">
        <f t="shared" si="13"/>
        <v>0</v>
      </c>
      <c r="J89" s="4">
        <f>ROUND(885821.6,2)</f>
        <v>885821.6</v>
      </c>
      <c r="K89" s="4">
        <f>ROUND(620667.37,2)</f>
        <v>620667.37</v>
      </c>
    </row>
    <row r="90" spans="1:11" ht="36.75">
      <c r="A90" s="2" t="s">
        <v>71</v>
      </c>
      <c r="B90" s="3" t="s">
        <v>225</v>
      </c>
      <c r="C90" s="3" t="s">
        <v>70</v>
      </c>
      <c r="D90" s="4">
        <f>ROUND(5081000,2)</f>
        <v>5081000</v>
      </c>
      <c r="E90" s="4">
        <f t="shared" si="12"/>
        <v>0</v>
      </c>
      <c r="F90" s="4">
        <f>ROUND(5081000,2)</f>
        <v>5081000</v>
      </c>
      <c r="G90" s="4">
        <f>ROUND(0,2)</f>
        <v>0</v>
      </c>
      <c r="H90" s="4">
        <f>ROUND(885821.6,2)</f>
        <v>885821.6</v>
      </c>
      <c r="I90" s="4">
        <f t="shared" si="13"/>
        <v>0</v>
      </c>
      <c r="J90" s="4">
        <f>ROUND(885821.6,2)</f>
        <v>885821.6</v>
      </c>
      <c r="K90" s="4">
        <f>ROUND(0,2)</f>
        <v>0</v>
      </c>
    </row>
    <row r="91" spans="1:11" ht="27.75">
      <c r="A91" s="2" t="s">
        <v>227</v>
      </c>
      <c r="B91" s="3" t="s">
        <v>46</v>
      </c>
      <c r="C91" s="3" t="s">
        <v>82</v>
      </c>
      <c r="D91" s="4">
        <f>ROUND(1272232,2)</f>
        <v>1272232</v>
      </c>
      <c r="E91" s="4">
        <f t="shared" si="12"/>
        <v>0</v>
      </c>
      <c r="F91" s="4">
        <f>ROUND(0,2)</f>
        <v>0</v>
      </c>
      <c r="G91" s="4">
        <f>ROUND(1272232,2)</f>
        <v>1272232</v>
      </c>
      <c r="H91" s="4">
        <f>ROUND(620667.37,2)</f>
        <v>620667.37</v>
      </c>
      <c r="I91" s="4">
        <f t="shared" si="13"/>
        <v>0</v>
      </c>
      <c r="J91" s="4">
        <f>ROUND(0,2)</f>
        <v>0</v>
      </c>
      <c r="K91" s="4">
        <f>ROUND(620667.37,2)</f>
        <v>620667.37</v>
      </c>
    </row>
    <row r="92" spans="1:11" ht="18.75">
      <c r="A92" s="2" t="s">
        <v>150</v>
      </c>
      <c r="B92" s="3" t="s">
        <v>344</v>
      </c>
      <c r="C92" s="3" t="s">
        <v>184</v>
      </c>
      <c r="D92" s="4">
        <f>ROUND(302997000,2)</f>
        <v>302997000</v>
      </c>
      <c r="E92" s="4">
        <f>ROUND(63316253,2)</f>
        <v>63316253</v>
      </c>
      <c r="F92" s="4">
        <f>ROUND(301038100,2)</f>
        <v>301038100</v>
      </c>
      <c r="G92" s="4">
        <f>ROUND(65275153,2)</f>
        <v>65275153</v>
      </c>
      <c r="H92" s="4">
        <f>ROUND(54222418.79,2)</f>
        <v>54222418.79</v>
      </c>
      <c r="I92" s="4">
        <f>ROUND(9698878,2)</f>
        <v>9698878</v>
      </c>
      <c r="J92" s="4">
        <f>ROUND(53901218.79,2)</f>
        <v>53901218.79</v>
      </c>
      <c r="K92" s="4">
        <f>ROUND(10020078,2)</f>
        <v>10020078</v>
      </c>
    </row>
    <row r="93" spans="1:11" ht="63.75">
      <c r="A93" s="2" t="s">
        <v>88</v>
      </c>
      <c r="B93" s="3" t="s">
        <v>84</v>
      </c>
      <c r="C93" s="3" t="s">
        <v>325</v>
      </c>
      <c r="D93" s="4">
        <f>ROUND(293267000,2)</f>
        <v>293267000</v>
      </c>
      <c r="E93" s="4">
        <f>ROUND(63316253,2)</f>
        <v>63316253</v>
      </c>
      <c r="F93" s="4">
        <f>ROUND(291338100,2)</f>
        <v>291338100</v>
      </c>
      <c r="G93" s="4">
        <f>ROUND(65245153,2)</f>
        <v>65245153</v>
      </c>
      <c r="H93" s="4">
        <f>ROUND(54474477.08,2)</f>
        <v>54474477.08</v>
      </c>
      <c r="I93" s="4">
        <f>ROUND(9698878,2)</f>
        <v>9698878</v>
      </c>
      <c r="J93" s="4">
        <f>ROUND(54153277.08,2)</f>
        <v>54153277.08</v>
      </c>
      <c r="K93" s="4">
        <f>ROUND(10020078,2)</f>
        <v>10020078</v>
      </c>
    </row>
    <row r="94" spans="1:11" ht="45.75">
      <c r="A94" s="2" t="s">
        <v>270</v>
      </c>
      <c r="B94" s="3" t="s">
        <v>222</v>
      </c>
      <c r="C94" s="3" t="s">
        <v>265</v>
      </c>
      <c r="D94" s="4">
        <f>ROUND(78253000,2)</f>
        <v>78253000</v>
      </c>
      <c r="E94" s="4">
        <f>ROUND(21897900,2)</f>
        <v>21897900</v>
      </c>
      <c r="F94" s="4">
        <f>ROUND(78253000,2)</f>
        <v>78253000</v>
      </c>
      <c r="G94" s="4">
        <f>ROUND(21897900,2)</f>
        <v>21897900</v>
      </c>
      <c r="H94" s="4">
        <f>ROUND(19563300,2)</f>
        <v>19563300</v>
      </c>
      <c r="I94" s="4">
        <f>ROUND(2944000,2)</f>
        <v>2944000</v>
      </c>
      <c r="J94" s="4">
        <f>ROUND(19563300,2)</f>
        <v>19563300</v>
      </c>
      <c r="K94" s="4">
        <f>ROUND(2944000,2)</f>
        <v>2944000</v>
      </c>
    </row>
    <row r="95" spans="1:11" ht="36.75">
      <c r="A95" s="2" t="s">
        <v>95</v>
      </c>
      <c r="B95" s="3" t="s">
        <v>49</v>
      </c>
      <c r="C95" s="3" t="s">
        <v>7</v>
      </c>
      <c r="D95" s="4">
        <f>ROUND(29685000,2)</f>
        <v>29685000</v>
      </c>
      <c r="E95" s="4">
        <f>ROUND(10884900,2)</f>
        <v>10884900</v>
      </c>
      <c r="F95" s="4">
        <f>ROUND(29685000,2)</f>
        <v>29685000</v>
      </c>
      <c r="G95" s="4">
        <f>ROUND(10884900,2)</f>
        <v>10884900</v>
      </c>
      <c r="H95" s="4">
        <f>ROUND(7421300,2)</f>
        <v>7421300</v>
      </c>
      <c r="I95" s="4">
        <f>ROUND(2200300,2)</f>
        <v>2200300</v>
      </c>
      <c r="J95" s="4">
        <f>ROUND(7421300,2)</f>
        <v>7421300</v>
      </c>
      <c r="K95" s="4">
        <f>ROUND(2200300,2)</f>
        <v>2200300</v>
      </c>
    </row>
    <row r="96" spans="1:11" ht="54.75">
      <c r="A96" s="2" t="s">
        <v>356</v>
      </c>
      <c r="B96" s="3" t="s">
        <v>19</v>
      </c>
      <c r="C96" s="3" t="s">
        <v>148</v>
      </c>
      <c r="D96" s="4">
        <f>ROUND(29685000,2)</f>
        <v>29685000</v>
      </c>
      <c r="E96" s="4">
        <f>ROUND(0,2)</f>
        <v>0</v>
      </c>
      <c r="F96" s="4">
        <f>ROUND(29685000,2)</f>
        <v>29685000</v>
      </c>
      <c r="G96" s="4">
        <f>ROUND(0,2)</f>
        <v>0</v>
      </c>
      <c r="H96" s="4">
        <f>ROUND(7421300,2)</f>
        <v>7421300</v>
      </c>
      <c r="I96" s="4">
        <f>ROUND(0,2)</f>
        <v>0</v>
      </c>
      <c r="J96" s="4">
        <f>ROUND(7421300,2)</f>
        <v>7421300</v>
      </c>
      <c r="K96" s="4">
        <f>ROUND(0,2)</f>
        <v>0</v>
      </c>
    </row>
    <row r="97" spans="1:11" ht="45.75">
      <c r="A97" s="2" t="s">
        <v>108</v>
      </c>
      <c r="B97" s="3" t="s">
        <v>251</v>
      </c>
      <c r="C97" s="3" t="s">
        <v>197</v>
      </c>
      <c r="D97" s="4">
        <f>ROUND(0,2)</f>
        <v>0</v>
      </c>
      <c r="E97" s="4">
        <f>ROUND(10884900,2)</f>
        <v>10884900</v>
      </c>
      <c r="F97" s="4">
        <f>ROUND(0,2)</f>
        <v>0</v>
      </c>
      <c r="G97" s="4">
        <f>ROUND(10884900,2)</f>
        <v>10884900</v>
      </c>
      <c r="H97" s="4">
        <f>ROUND(0,2)</f>
        <v>0</v>
      </c>
      <c r="I97" s="4">
        <f>ROUND(2200300,2)</f>
        <v>2200300</v>
      </c>
      <c r="J97" s="4">
        <f>ROUND(0,2)</f>
        <v>0</v>
      </c>
      <c r="K97" s="4">
        <f>ROUND(2200300,2)</f>
        <v>2200300</v>
      </c>
    </row>
    <row r="98" spans="1:11" ht="45.75">
      <c r="A98" s="2" t="s">
        <v>321</v>
      </c>
      <c r="B98" s="3" t="s">
        <v>191</v>
      </c>
      <c r="C98" s="3" t="s">
        <v>39</v>
      </c>
      <c r="D98" s="4">
        <f>ROUND(48568000,2)</f>
        <v>48568000</v>
      </c>
      <c r="E98" s="4">
        <f>ROUND(0,2)</f>
        <v>0</v>
      </c>
      <c r="F98" s="4">
        <f>ROUND(48568000,2)</f>
        <v>48568000</v>
      </c>
      <c r="G98" s="4">
        <f>ROUND(0,2)</f>
        <v>0</v>
      </c>
      <c r="H98" s="4">
        <f>ROUND(12142000,2)</f>
        <v>12142000</v>
      </c>
      <c r="I98" s="4">
        <f>ROUND(0,2)</f>
        <v>0</v>
      </c>
      <c r="J98" s="4">
        <f>ROUND(12142000,2)</f>
        <v>12142000</v>
      </c>
      <c r="K98" s="4">
        <f>ROUND(0,2)</f>
        <v>0</v>
      </c>
    </row>
    <row r="99" spans="1:11" ht="54.75">
      <c r="A99" s="2" t="s">
        <v>399</v>
      </c>
      <c r="B99" s="3" t="s">
        <v>173</v>
      </c>
      <c r="C99" s="3" t="s">
        <v>238</v>
      </c>
      <c r="D99" s="4">
        <f>ROUND(48568000,2)</f>
        <v>48568000</v>
      </c>
      <c r="E99" s="4">
        <f>ROUND(0,2)</f>
        <v>0</v>
      </c>
      <c r="F99" s="4">
        <f>ROUND(48568000,2)</f>
        <v>48568000</v>
      </c>
      <c r="G99" s="4">
        <f>ROUND(0,2)</f>
        <v>0</v>
      </c>
      <c r="H99" s="4">
        <f>ROUND(12142000,2)</f>
        <v>12142000</v>
      </c>
      <c r="I99" s="4">
        <f>ROUND(0,2)</f>
        <v>0</v>
      </c>
      <c r="J99" s="4">
        <f>ROUND(12142000,2)</f>
        <v>12142000</v>
      </c>
      <c r="K99" s="4">
        <f>ROUND(0,2)</f>
        <v>0</v>
      </c>
    </row>
    <row r="100" spans="1:11" ht="12.75">
      <c r="A100" s="2" t="s">
        <v>119</v>
      </c>
      <c r="B100" s="3" t="s">
        <v>163</v>
      </c>
      <c r="C100" s="3" t="s">
        <v>192</v>
      </c>
      <c r="D100" s="4">
        <f>ROUND(0,2)</f>
        <v>0</v>
      </c>
      <c r="E100" s="4">
        <f>ROUND(11013000,2)</f>
        <v>11013000</v>
      </c>
      <c r="F100" s="4">
        <f>ROUND(0,2)</f>
        <v>0</v>
      </c>
      <c r="G100" s="4">
        <f>ROUND(11013000,2)</f>
        <v>11013000</v>
      </c>
      <c r="H100" s="4">
        <f>ROUND(0,2)</f>
        <v>0</v>
      </c>
      <c r="I100" s="4">
        <f>ROUND(743700,2)</f>
        <v>743700</v>
      </c>
      <c r="J100" s="4">
        <f>ROUND(0,2)</f>
        <v>0</v>
      </c>
      <c r="K100" s="4">
        <f>ROUND(743700,2)</f>
        <v>743700</v>
      </c>
    </row>
    <row r="101" spans="1:11" ht="18.75">
      <c r="A101" s="2" t="s">
        <v>367</v>
      </c>
      <c r="B101" s="3" t="s">
        <v>350</v>
      </c>
      <c r="C101" s="3" t="s">
        <v>383</v>
      </c>
      <c r="D101" s="4">
        <f>ROUND(0,2)</f>
        <v>0</v>
      </c>
      <c r="E101" s="4">
        <f>ROUND(11013000,2)</f>
        <v>11013000</v>
      </c>
      <c r="F101" s="4">
        <f>ROUND(0,2)</f>
        <v>0</v>
      </c>
      <c r="G101" s="4">
        <f>ROUND(11013000,2)</f>
        <v>11013000</v>
      </c>
      <c r="H101" s="4">
        <f>ROUND(0,2)</f>
        <v>0</v>
      </c>
      <c r="I101" s="4">
        <f>ROUND(743700,2)</f>
        <v>743700</v>
      </c>
      <c r="J101" s="4">
        <f>ROUND(0,2)</f>
        <v>0</v>
      </c>
      <c r="K101" s="4">
        <f>ROUND(743700,2)</f>
        <v>743700</v>
      </c>
    </row>
    <row r="102" spans="1:11" ht="63.75">
      <c r="A102" s="2" t="s">
        <v>200</v>
      </c>
      <c r="B102" s="3" t="s">
        <v>59</v>
      </c>
      <c r="C102" s="3" t="s">
        <v>74</v>
      </c>
      <c r="D102" s="4">
        <f>ROUND(0,2)</f>
        <v>0</v>
      </c>
      <c r="E102" s="4">
        <f>ROUND(564101,2)</f>
        <v>564101</v>
      </c>
      <c r="F102" s="4">
        <f>ROUND(0,2)</f>
        <v>0</v>
      </c>
      <c r="G102" s="4">
        <f>ROUND(564101,2)</f>
        <v>564101</v>
      </c>
      <c r="H102" s="4">
        <f>ROUND(0,2)</f>
        <v>0</v>
      </c>
      <c r="I102" s="4">
        <f>ROUND(564101,2)</f>
        <v>564101</v>
      </c>
      <c r="J102" s="4">
        <f>ROUND(0,2)</f>
        <v>0</v>
      </c>
      <c r="K102" s="4">
        <f>ROUND(564101,2)</f>
        <v>564101</v>
      </c>
    </row>
    <row r="103" spans="1:11" ht="12.75">
      <c r="A103" s="2" t="s">
        <v>98</v>
      </c>
      <c r="B103" s="3" t="s">
        <v>312</v>
      </c>
      <c r="C103" s="3" t="s">
        <v>23</v>
      </c>
      <c r="D103" s="4">
        <f>ROUND(0,2)</f>
        <v>0</v>
      </c>
      <c r="E103" s="4">
        <f>ROUND(564101,2)</f>
        <v>564101</v>
      </c>
      <c r="F103" s="4">
        <f>ROUND(0,2)</f>
        <v>0</v>
      </c>
      <c r="G103" s="4">
        <f>ROUND(564101,2)</f>
        <v>564101</v>
      </c>
      <c r="H103" s="4">
        <f>ROUND(0,2)</f>
        <v>0</v>
      </c>
      <c r="I103" s="4">
        <f>ROUND(564101,2)</f>
        <v>564101</v>
      </c>
      <c r="J103" s="4">
        <f>ROUND(0,2)</f>
        <v>0</v>
      </c>
      <c r="K103" s="4">
        <f>ROUND(564101,2)</f>
        <v>564101</v>
      </c>
    </row>
    <row r="104" spans="1:11" ht="18.75">
      <c r="A104" s="2" t="s">
        <v>339</v>
      </c>
      <c r="B104" s="3" t="s">
        <v>114</v>
      </c>
      <c r="C104" s="3" t="s">
        <v>69</v>
      </c>
      <c r="D104" s="4">
        <f>ROUND(0,2)</f>
        <v>0</v>
      </c>
      <c r="E104" s="4">
        <f>ROUND(564101,2)</f>
        <v>564101</v>
      </c>
      <c r="F104" s="4">
        <f>ROUND(0,2)</f>
        <v>0</v>
      </c>
      <c r="G104" s="4">
        <f>ROUND(564101,2)</f>
        <v>564101</v>
      </c>
      <c r="H104" s="4">
        <f>ROUND(0,2)</f>
        <v>0</v>
      </c>
      <c r="I104" s="4">
        <f>ROUND(564101,2)</f>
        <v>564101</v>
      </c>
      <c r="J104" s="4">
        <f>ROUND(0,2)</f>
        <v>0</v>
      </c>
      <c r="K104" s="4">
        <f>ROUND(564101,2)</f>
        <v>564101</v>
      </c>
    </row>
    <row r="105" spans="1:11" ht="45.75">
      <c r="A105" s="2" t="s">
        <v>168</v>
      </c>
      <c r="B105" s="3" t="s">
        <v>193</v>
      </c>
      <c r="C105" s="3" t="s">
        <v>242</v>
      </c>
      <c r="D105" s="4">
        <f>ROUND(214717800,2)</f>
        <v>214717800</v>
      </c>
      <c r="E105" s="4">
        <f aca="true" t="shared" si="19" ref="E105:E121">ROUND(0,2)</f>
        <v>0</v>
      </c>
      <c r="F105" s="4">
        <f>ROUND(212788900,2)</f>
        <v>212788900</v>
      </c>
      <c r="G105" s="4">
        <f>ROUND(1928900,2)</f>
        <v>1928900</v>
      </c>
      <c r="H105" s="4">
        <f>ROUND(34761177.08,2)</f>
        <v>34761177.08</v>
      </c>
      <c r="I105" s="4">
        <f aca="true" t="shared" si="20" ref="I105:I121">ROUND(0,2)</f>
        <v>0</v>
      </c>
      <c r="J105" s="4">
        <f>ROUND(34439977.08,2)</f>
        <v>34439977.08</v>
      </c>
      <c r="K105" s="4">
        <f>ROUND(321200,2)</f>
        <v>321200</v>
      </c>
    </row>
    <row r="106" spans="1:11" ht="63.75">
      <c r="A106" s="2" t="s">
        <v>292</v>
      </c>
      <c r="B106" s="3" t="s">
        <v>72</v>
      </c>
      <c r="C106" s="3" t="s">
        <v>64</v>
      </c>
      <c r="D106" s="4">
        <f>ROUND(1928900,2)</f>
        <v>1928900</v>
      </c>
      <c r="E106" s="4">
        <f t="shared" si="19"/>
        <v>0</v>
      </c>
      <c r="F106" s="4">
        <f>ROUND(0,2)</f>
        <v>0</v>
      </c>
      <c r="G106" s="4">
        <f>ROUND(1928900,2)</f>
        <v>1928900</v>
      </c>
      <c r="H106" s="4">
        <f>ROUND(321200,2)</f>
        <v>321200</v>
      </c>
      <c r="I106" s="4">
        <f t="shared" si="20"/>
        <v>0</v>
      </c>
      <c r="J106" s="4">
        <f aca="true" t="shared" si="21" ref="J106:J111">ROUND(0,2)</f>
        <v>0</v>
      </c>
      <c r="K106" s="4">
        <f>ROUND(321200,2)</f>
        <v>321200</v>
      </c>
    </row>
    <row r="107" spans="1:11" ht="72.75">
      <c r="A107" s="2" t="s">
        <v>77</v>
      </c>
      <c r="B107" s="3" t="s">
        <v>266</v>
      </c>
      <c r="C107" s="3" t="s">
        <v>172</v>
      </c>
      <c r="D107" s="4">
        <f>ROUND(1928900,2)</f>
        <v>1928900</v>
      </c>
      <c r="E107" s="4">
        <f t="shared" si="19"/>
        <v>0</v>
      </c>
      <c r="F107" s="4">
        <f>ROUND(0,2)</f>
        <v>0</v>
      </c>
      <c r="G107" s="4">
        <f>ROUND(1928900,2)</f>
        <v>1928900</v>
      </c>
      <c r="H107" s="4">
        <f>ROUND(321200,2)</f>
        <v>321200</v>
      </c>
      <c r="I107" s="4">
        <f t="shared" si="20"/>
        <v>0</v>
      </c>
      <c r="J107" s="4">
        <f t="shared" si="21"/>
        <v>0</v>
      </c>
      <c r="K107" s="4">
        <f>ROUND(321200,2)</f>
        <v>321200</v>
      </c>
    </row>
    <row r="108" spans="1:11" ht="72.75">
      <c r="A108" s="2" t="s">
        <v>47</v>
      </c>
      <c r="B108" s="3" t="s">
        <v>294</v>
      </c>
      <c r="C108" s="3" t="s">
        <v>373</v>
      </c>
      <c r="D108" s="4">
        <f>ROUND(251800,2)</f>
        <v>251800</v>
      </c>
      <c r="E108" s="4">
        <f t="shared" si="19"/>
        <v>0</v>
      </c>
      <c r="F108" s="4">
        <f>ROUND(251800,2)</f>
        <v>251800</v>
      </c>
      <c r="G108" s="4">
        <f aca="true" t="shared" si="22" ref="G108:H111">ROUND(0,2)</f>
        <v>0</v>
      </c>
      <c r="H108" s="4">
        <f t="shared" si="22"/>
        <v>0</v>
      </c>
      <c r="I108" s="4">
        <f t="shared" si="20"/>
        <v>0</v>
      </c>
      <c r="J108" s="4">
        <f t="shared" si="21"/>
        <v>0</v>
      </c>
      <c r="K108" s="4">
        <f aca="true" t="shared" si="23" ref="K108:K121">ROUND(0,2)</f>
        <v>0</v>
      </c>
    </row>
    <row r="109" spans="1:11" ht="81.75">
      <c r="A109" s="2" t="s">
        <v>6</v>
      </c>
      <c r="B109" s="3" t="s">
        <v>277</v>
      </c>
      <c r="C109" s="3" t="s">
        <v>257</v>
      </c>
      <c r="D109" s="4">
        <f>ROUND(251800,2)</f>
        <v>251800</v>
      </c>
      <c r="E109" s="4">
        <f t="shared" si="19"/>
        <v>0</v>
      </c>
      <c r="F109" s="4">
        <f>ROUND(251800,2)</f>
        <v>251800</v>
      </c>
      <c r="G109" s="4">
        <f t="shared" si="22"/>
        <v>0</v>
      </c>
      <c r="H109" s="4">
        <f t="shared" si="22"/>
        <v>0</v>
      </c>
      <c r="I109" s="4">
        <f t="shared" si="20"/>
        <v>0</v>
      </c>
      <c r="J109" s="4">
        <f t="shared" si="21"/>
        <v>0</v>
      </c>
      <c r="K109" s="4">
        <f t="shared" si="23"/>
        <v>0</v>
      </c>
    </row>
    <row r="110" spans="1:11" ht="63.75">
      <c r="A110" s="2" t="s">
        <v>68</v>
      </c>
      <c r="B110" s="3" t="s">
        <v>66</v>
      </c>
      <c r="C110" s="3" t="s">
        <v>179</v>
      </c>
      <c r="D110" s="4">
        <f>ROUND(2575000,2)</f>
        <v>2575000</v>
      </c>
      <c r="E110" s="4">
        <f t="shared" si="19"/>
        <v>0</v>
      </c>
      <c r="F110" s="4">
        <f>ROUND(2575000,2)</f>
        <v>2575000</v>
      </c>
      <c r="G110" s="4">
        <f t="shared" si="22"/>
        <v>0</v>
      </c>
      <c r="H110" s="4">
        <f t="shared" si="22"/>
        <v>0</v>
      </c>
      <c r="I110" s="4">
        <f t="shared" si="20"/>
        <v>0</v>
      </c>
      <c r="J110" s="4">
        <f t="shared" si="21"/>
        <v>0</v>
      </c>
      <c r="K110" s="4">
        <f t="shared" si="23"/>
        <v>0</v>
      </c>
    </row>
    <row r="111" spans="1:11" ht="63.75">
      <c r="A111" s="2" t="s">
        <v>317</v>
      </c>
      <c r="B111" s="3" t="s">
        <v>93</v>
      </c>
      <c r="C111" s="3" t="s">
        <v>196</v>
      </c>
      <c r="D111" s="4">
        <f>ROUND(2575000,2)</f>
        <v>2575000</v>
      </c>
      <c r="E111" s="4">
        <f t="shared" si="19"/>
        <v>0</v>
      </c>
      <c r="F111" s="4">
        <f>ROUND(2575000,2)</f>
        <v>2575000</v>
      </c>
      <c r="G111" s="4">
        <f t="shared" si="22"/>
        <v>0</v>
      </c>
      <c r="H111" s="4">
        <f t="shared" si="22"/>
        <v>0</v>
      </c>
      <c r="I111" s="4">
        <f t="shared" si="20"/>
        <v>0</v>
      </c>
      <c r="J111" s="4">
        <f t="shared" si="21"/>
        <v>0</v>
      </c>
      <c r="K111" s="4">
        <f t="shared" si="23"/>
        <v>0</v>
      </c>
    </row>
    <row r="112" spans="1:11" ht="54.75">
      <c r="A112" s="2" t="s">
        <v>177</v>
      </c>
      <c r="B112" s="3" t="s">
        <v>87</v>
      </c>
      <c r="C112" s="3" t="s">
        <v>92</v>
      </c>
      <c r="D112" s="4">
        <f>ROUND(56170000,2)</f>
        <v>56170000</v>
      </c>
      <c r="E112" s="4">
        <f t="shared" si="19"/>
        <v>0</v>
      </c>
      <c r="F112" s="4">
        <f>ROUND(56170000,2)</f>
        <v>56170000</v>
      </c>
      <c r="G112" s="4">
        <f aca="true" t="shared" si="24" ref="G112:G121">ROUND(0,2)</f>
        <v>0</v>
      </c>
      <c r="H112" s="4">
        <f>ROUND(9638971,2)</f>
        <v>9638971</v>
      </c>
      <c r="I112" s="4">
        <f t="shared" si="20"/>
        <v>0</v>
      </c>
      <c r="J112" s="4">
        <f>ROUND(9638971,2)</f>
        <v>9638971</v>
      </c>
      <c r="K112" s="4">
        <f t="shared" si="23"/>
        <v>0</v>
      </c>
    </row>
    <row r="113" spans="1:11" ht="63.75">
      <c r="A113" s="2" t="s">
        <v>282</v>
      </c>
      <c r="B113" s="3" t="s">
        <v>65</v>
      </c>
      <c r="C113" s="3" t="s">
        <v>274</v>
      </c>
      <c r="D113" s="4">
        <f>ROUND(56170000,2)</f>
        <v>56170000</v>
      </c>
      <c r="E113" s="4">
        <f t="shared" si="19"/>
        <v>0</v>
      </c>
      <c r="F113" s="4">
        <f>ROUND(56170000,2)</f>
        <v>56170000</v>
      </c>
      <c r="G113" s="4">
        <f t="shared" si="24"/>
        <v>0</v>
      </c>
      <c r="H113" s="4">
        <f>ROUND(9638971,2)</f>
        <v>9638971</v>
      </c>
      <c r="I113" s="4">
        <f t="shared" si="20"/>
        <v>0</v>
      </c>
      <c r="J113" s="4">
        <f>ROUND(9638971,2)</f>
        <v>9638971</v>
      </c>
      <c r="K113" s="4">
        <f t="shared" si="23"/>
        <v>0</v>
      </c>
    </row>
    <row r="114" spans="1:11" ht="135.75">
      <c r="A114" s="2" t="s">
        <v>209</v>
      </c>
      <c r="B114" s="3" t="s">
        <v>143</v>
      </c>
      <c r="C114" s="3" t="s">
        <v>402</v>
      </c>
      <c r="D114" s="4">
        <f>ROUND(2400000,2)</f>
        <v>2400000</v>
      </c>
      <c r="E114" s="4">
        <f t="shared" si="19"/>
        <v>0</v>
      </c>
      <c r="F114" s="4">
        <f>ROUND(2400000,2)</f>
        <v>2400000</v>
      </c>
      <c r="G114" s="4">
        <f t="shared" si="24"/>
        <v>0</v>
      </c>
      <c r="H114" s="4">
        <f>ROUND(0,2)</f>
        <v>0</v>
      </c>
      <c r="I114" s="4">
        <f t="shared" si="20"/>
        <v>0</v>
      </c>
      <c r="J114" s="4">
        <f>ROUND(0,2)</f>
        <v>0</v>
      </c>
      <c r="K114" s="4">
        <f t="shared" si="23"/>
        <v>0</v>
      </c>
    </row>
    <row r="115" spans="1:11" ht="135.75">
      <c r="A115" s="2" t="s">
        <v>167</v>
      </c>
      <c r="B115" s="3" t="s">
        <v>113</v>
      </c>
      <c r="C115" s="3" t="s">
        <v>125</v>
      </c>
      <c r="D115" s="4">
        <f>ROUND(2400000,2)</f>
        <v>2400000</v>
      </c>
      <c r="E115" s="4">
        <f t="shared" si="19"/>
        <v>0</v>
      </c>
      <c r="F115" s="4">
        <f>ROUND(2400000,2)</f>
        <v>2400000</v>
      </c>
      <c r="G115" s="4">
        <f t="shared" si="24"/>
        <v>0</v>
      </c>
      <c r="H115" s="4">
        <f>ROUND(0,2)</f>
        <v>0</v>
      </c>
      <c r="I115" s="4">
        <f t="shared" si="20"/>
        <v>0</v>
      </c>
      <c r="J115" s="4">
        <f>ROUND(0,2)</f>
        <v>0</v>
      </c>
      <c r="K115" s="4">
        <f t="shared" si="23"/>
        <v>0</v>
      </c>
    </row>
    <row r="116" spans="1:11" ht="90.75">
      <c r="A116" s="2" t="s">
        <v>118</v>
      </c>
      <c r="B116" s="3" t="s">
        <v>304</v>
      </c>
      <c r="C116" s="3" t="s">
        <v>132</v>
      </c>
      <c r="D116" s="4">
        <f>ROUND(9726000,2)</f>
        <v>9726000</v>
      </c>
      <c r="E116" s="4">
        <f t="shared" si="19"/>
        <v>0</v>
      </c>
      <c r="F116" s="4">
        <f>ROUND(9726000,2)</f>
        <v>9726000</v>
      </c>
      <c r="G116" s="4">
        <f t="shared" si="24"/>
        <v>0</v>
      </c>
      <c r="H116" s="4">
        <f>ROUND(1634739.78,2)</f>
        <v>1634739.78</v>
      </c>
      <c r="I116" s="4">
        <f t="shared" si="20"/>
        <v>0</v>
      </c>
      <c r="J116" s="4">
        <f>ROUND(1634739.78,2)</f>
        <v>1634739.78</v>
      </c>
      <c r="K116" s="4">
        <f t="shared" si="23"/>
        <v>0</v>
      </c>
    </row>
    <row r="117" spans="1:11" ht="90.75">
      <c r="A117" s="2" t="s">
        <v>301</v>
      </c>
      <c r="B117" s="3" t="s">
        <v>333</v>
      </c>
      <c r="C117" s="3" t="s">
        <v>135</v>
      </c>
      <c r="D117" s="4">
        <f>ROUND(9726000,2)</f>
        <v>9726000</v>
      </c>
      <c r="E117" s="4">
        <f t="shared" si="19"/>
        <v>0</v>
      </c>
      <c r="F117" s="4">
        <f>ROUND(9726000,2)</f>
        <v>9726000</v>
      </c>
      <c r="G117" s="4">
        <f t="shared" si="24"/>
        <v>0</v>
      </c>
      <c r="H117" s="4">
        <f>ROUND(1634739.78,2)</f>
        <v>1634739.78</v>
      </c>
      <c r="I117" s="4">
        <f t="shared" si="20"/>
        <v>0</v>
      </c>
      <c r="J117" s="4">
        <f>ROUND(1634739.78,2)</f>
        <v>1634739.78</v>
      </c>
      <c r="K117" s="4">
        <f t="shared" si="23"/>
        <v>0</v>
      </c>
    </row>
    <row r="118" spans="1:11" ht="153.75">
      <c r="A118" s="2" t="s">
        <v>299</v>
      </c>
      <c r="B118" s="3" t="s">
        <v>158</v>
      </c>
      <c r="C118" s="3" t="s">
        <v>255</v>
      </c>
      <c r="D118" s="4">
        <f>ROUND(1762000,2)</f>
        <v>1762000</v>
      </c>
      <c r="E118" s="4">
        <f t="shared" si="19"/>
        <v>0</v>
      </c>
      <c r="F118" s="4">
        <f>ROUND(1762000,2)</f>
        <v>1762000</v>
      </c>
      <c r="G118" s="4">
        <f t="shared" si="24"/>
        <v>0</v>
      </c>
      <c r="H118" s="4">
        <f>ROUND(279866.3,2)</f>
        <v>279866.3</v>
      </c>
      <c r="I118" s="4">
        <f t="shared" si="20"/>
        <v>0</v>
      </c>
      <c r="J118" s="4">
        <f>ROUND(279866.3,2)</f>
        <v>279866.3</v>
      </c>
      <c r="K118" s="4">
        <f t="shared" si="23"/>
        <v>0</v>
      </c>
    </row>
    <row r="119" spans="1:11" ht="144.75">
      <c r="A119" s="2" t="s">
        <v>260</v>
      </c>
      <c r="B119" s="3" t="s">
        <v>185</v>
      </c>
      <c r="C119" s="3" t="s">
        <v>124</v>
      </c>
      <c r="D119" s="4">
        <f>ROUND(1762000,2)</f>
        <v>1762000</v>
      </c>
      <c r="E119" s="4">
        <f t="shared" si="19"/>
        <v>0</v>
      </c>
      <c r="F119" s="4">
        <f>ROUND(1762000,2)</f>
        <v>1762000</v>
      </c>
      <c r="G119" s="4">
        <f t="shared" si="24"/>
        <v>0</v>
      </c>
      <c r="H119" s="4">
        <f>ROUND(279866.3,2)</f>
        <v>279866.3</v>
      </c>
      <c r="I119" s="4">
        <f t="shared" si="20"/>
        <v>0</v>
      </c>
      <c r="J119" s="4">
        <f>ROUND(279866.3,2)</f>
        <v>279866.3</v>
      </c>
      <c r="K119" s="4">
        <f t="shared" si="23"/>
        <v>0</v>
      </c>
    </row>
    <row r="120" spans="1:11" ht="12.75">
      <c r="A120" s="2" t="s">
        <v>324</v>
      </c>
      <c r="B120" s="3" t="s">
        <v>233</v>
      </c>
      <c r="C120" s="3" t="s">
        <v>81</v>
      </c>
      <c r="D120" s="4">
        <f>ROUND(139904100,2)</f>
        <v>139904100</v>
      </c>
      <c r="E120" s="4">
        <f t="shared" si="19"/>
        <v>0</v>
      </c>
      <c r="F120" s="4">
        <f>ROUND(139904100,2)</f>
        <v>139904100</v>
      </c>
      <c r="G120" s="4">
        <f t="shared" si="24"/>
        <v>0</v>
      </c>
      <c r="H120" s="4">
        <f>ROUND(22886400,2)</f>
        <v>22886400</v>
      </c>
      <c r="I120" s="4">
        <f t="shared" si="20"/>
        <v>0</v>
      </c>
      <c r="J120" s="4">
        <f>ROUND(22886400,2)</f>
        <v>22886400</v>
      </c>
      <c r="K120" s="4">
        <f t="shared" si="23"/>
        <v>0</v>
      </c>
    </row>
    <row r="121" spans="1:11" ht="36.75">
      <c r="A121" s="2" t="s">
        <v>226</v>
      </c>
      <c r="B121" s="3" t="s">
        <v>211</v>
      </c>
      <c r="C121" s="3" t="s">
        <v>372</v>
      </c>
      <c r="D121" s="4">
        <f>ROUND(139904100,2)</f>
        <v>139904100</v>
      </c>
      <c r="E121" s="4">
        <f t="shared" si="19"/>
        <v>0</v>
      </c>
      <c r="F121" s="4">
        <f>ROUND(139904100,2)</f>
        <v>139904100</v>
      </c>
      <c r="G121" s="4">
        <f t="shared" si="24"/>
        <v>0</v>
      </c>
      <c r="H121" s="4">
        <f>ROUND(22886400,2)</f>
        <v>22886400</v>
      </c>
      <c r="I121" s="4">
        <f t="shared" si="20"/>
        <v>0</v>
      </c>
      <c r="J121" s="4">
        <f>ROUND(22886400,2)</f>
        <v>22886400</v>
      </c>
      <c r="K121" s="4">
        <f t="shared" si="23"/>
        <v>0</v>
      </c>
    </row>
    <row r="122" spans="1:11" ht="18.75">
      <c r="A122" s="2" t="s">
        <v>290</v>
      </c>
      <c r="B122" s="3" t="s">
        <v>76</v>
      </c>
      <c r="C122" s="3" t="s">
        <v>9</v>
      </c>
      <c r="D122" s="4">
        <f>ROUND(296200,2)</f>
        <v>296200</v>
      </c>
      <c r="E122" s="4">
        <f>ROUND(40854252,2)</f>
        <v>40854252</v>
      </c>
      <c r="F122" s="4">
        <f>ROUND(296200,2)</f>
        <v>296200</v>
      </c>
      <c r="G122" s="4">
        <f>ROUND(40854252,2)</f>
        <v>40854252</v>
      </c>
      <c r="H122" s="4">
        <f>ROUND(150000,2)</f>
        <v>150000</v>
      </c>
      <c r="I122" s="4">
        <f>ROUND(6190777,2)</f>
        <v>6190777</v>
      </c>
      <c r="J122" s="4">
        <f>ROUND(150000,2)</f>
        <v>150000</v>
      </c>
      <c r="K122" s="4">
        <f>ROUND(6190777,2)</f>
        <v>6190777</v>
      </c>
    </row>
    <row r="123" spans="1:11" ht="99.75">
      <c r="A123" s="2" t="s">
        <v>311</v>
      </c>
      <c r="B123" s="3" t="s">
        <v>30</v>
      </c>
      <c r="C123" s="3" t="s">
        <v>302</v>
      </c>
      <c r="D123" s="4">
        <f>ROUND(150000,2)</f>
        <v>150000</v>
      </c>
      <c r="E123" s="4">
        <f>ROUND(0,2)</f>
        <v>0</v>
      </c>
      <c r="F123" s="4">
        <f>ROUND(150000,2)</f>
        <v>150000</v>
      </c>
      <c r="G123" s="4">
        <f>ROUND(0,2)</f>
        <v>0</v>
      </c>
      <c r="H123" s="4">
        <f>ROUND(150000,2)</f>
        <v>150000</v>
      </c>
      <c r="I123" s="4">
        <f>ROUND(0,2)</f>
        <v>0</v>
      </c>
      <c r="J123" s="4">
        <f>ROUND(150000,2)</f>
        <v>150000</v>
      </c>
      <c r="K123" s="4">
        <f>ROUND(0,2)</f>
        <v>0</v>
      </c>
    </row>
    <row r="124" spans="1:11" ht="117.75">
      <c r="A124" s="2" t="s">
        <v>323</v>
      </c>
      <c r="B124" s="3" t="s">
        <v>4</v>
      </c>
      <c r="C124" s="3" t="s">
        <v>334</v>
      </c>
      <c r="D124" s="4">
        <f>ROUND(150000,2)</f>
        <v>150000</v>
      </c>
      <c r="E124" s="4">
        <f>ROUND(0,2)</f>
        <v>0</v>
      </c>
      <c r="F124" s="4">
        <f>ROUND(150000,2)</f>
        <v>150000</v>
      </c>
      <c r="G124" s="4">
        <f>ROUND(0,2)</f>
        <v>0</v>
      </c>
      <c r="H124" s="4">
        <f>ROUND(150000,2)</f>
        <v>150000</v>
      </c>
      <c r="I124" s="4">
        <f>ROUND(0,2)</f>
        <v>0</v>
      </c>
      <c r="J124" s="4">
        <f>ROUND(150000,2)</f>
        <v>150000</v>
      </c>
      <c r="K124" s="4">
        <f>ROUND(0,2)</f>
        <v>0</v>
      </c>
    </row>
    <row r="125" spans="1:11" ht="117.75">
      <c r="A125" s="2" t="s">
        <v>403</v>
      </c>
      <c r="B125" s="3" t="s">
        <v>388</v>
      </c>
      <c r="C125" s="3" t="s">
        <v>169</v>
      </c>
      <c r="D125" s="4">
        <f>ROUND(0,2)</f>
        <v>0</v>
      </c>
      <c r="E125" s="4">
        <f>ROUND(40708052,2)</f>
        <v>40708052</v>
      </c>
      <c r="F125" s="4">
        <f>ROUND(0,2)</f>
        <v>0</v>
      </c>
      <c r="G125" s="4">
        <f>ROUND(40708052,2)</f>
        <v>40708052</v>
      </c>
      <c r="H125" s="4">
        <f>ROUND(0,2)</f>
        <v>0</v>
      </c>
      <c r="I125" s="4">
        <f>ROUND(6190777,2)</f>
        <v>6190777</v>
      </c>
      <c r="J125" s="4">
        <f>ROUND(0,2)</f>
        <v>0</v>
      </c>
      <c r="K125" s="4">
        <f>ROUND(6190777,2)</f>
        <v>6190777</v>
      </c>
    </row>
    <row r="126" spans="1:11" ht="126.75">
      <c r="A126" s="2" t="s">
        <v>397</v>
      </c>
      <c r="B126" s="3" t="s">
        <v>183</v>
      </c>
      <c r="C126" s="3" t="s">
        <v>291</v>
      </c>
      <c r="D126" s="4">
        <f>ROUND(0,2)</f>
        <v>0</v>
      </c>
      <c r="E126" s="4">
        <f>ROUND(40708052,2)</f>
        <v>40708052</v>
      </c>
      <c r="F126" s="4">
        <f>ROUND(0,2)</f>
        <v>0</v>
      </c>
      <c r="G126" s="4">
        <f>ROUND(40708052,2)</f>
        <v>40708052</v>
      </c>
      <c r="H126" s="4">
        <f>ROUND(0,2)</f>
        <v>0</v>
      </c>
      <c r="I126" s="4">
        <f>ROUND(6190777,2)</f>
        <v>6190777</v>
      </c>
      <c r="J126" s="4">
        <f>ROUND(0,2)</f>
        <v>0</v>
      </c>
      <c r="K126" s="4">
        <f>ROUND(6190777,2)</f>
        <v>6190777</v>
      </c>
    </row>
    <row r="127" spans="1:11" ht="117.75">
      <c r="A127" s="2" t="s">
        <v>298</v>
      </c>
      <c r="B127" s="3" t="s">
        <v>349</v>
      </c>
      <c r="C127" s="3" t="s">
        <v>186</v>
      </c>
      <c r="D127" s="4">
        <f>ROUND(146200,2)</f>
        <v>146200</v>
      </c>
      <c r="E127" s="4">
        <f>ROUND(146200,2)</f>
        <v>146200</v>
      </c>
      <c r="F127" s="4">
        <f>ROUND(146200,2)</f>
        <v>146200</v>
      </c>
      <c r="G127" s="4">
        <f>ROUND(146200,2)</f>
        <v>146200</v>
      </c>
      <c r="H127" s="4">
        <f>ROUND(0,2)</f>
        <v>0</v>
      </c>
      <c r="I127" s="4">
        <f aca="true" t="shared" si="25" ref="I127:I134">ROUND(0,2)</f>
        <v>0</v>
      </c>
      <c r="J127" s="4">
        <f>ROUND(0,2)</f>
        <v>0</v>
      </c>
      <c r="K127" s="4">
        <f aca="true" t="shared" si="26" ref="K127:K134">ROUND(0,2)</f>
        <v>0</v>
      </c>
    </row>
    <row r="128" spans="1:11" ht="99.75">
      <c r="A128" s="2" t="s">
        <v>366</v>
      </c>
      <c r="B128" s="3" t="s">
        <v>380</v>
      </c>
      <c r="C128" s="3" t="s">
        <v>194</v>
      </c>
      <c r="D128" s="4">
        <f>ROUND(146200,2)</f>
        <v>146200</v>
      </c>
      <c r="E128" s="4">
        <f>ROUND(0,2)</f>
        <v>0</v>
      </c>
      <c r="F128" s="4">
        <f>ROUND(146200,2)</f>
        <v>146200</v>
      </c>
      <c r="G128" s="4">
        <f>ROUND(0,2)</f>
        <v>0</v>
      </c>
      <c r="H128" s="4">
        <f>ROUND(0,2)</f>
        <v>0</v>
      </c>
      <c r="I128" s="4">
        <f t="shared" si="25"/>
        <v>0</v>
      </c>
      <c r="J128" s="4">
        <f>ROUND(0,2)</f>
        <v>0</v>
      </c>
      <c r="K128" s="4">
        <f t="shared" si="26"/>
        <v>0</v>
      </c>
    </row>
    <row r="129" spans="1:11" ht="81.75">
      <c r="A129" s="2" t="s">
        <v>199</v>
      </c>
      <c r="B129" s="3" t="s">
        <v>162</v>
      </c>
      <c r="C129" s="3" t="s">
        <v>181</v>
      </c>
      <c r="D129" s="4">
        <f>ROUND(0,2)</f>
        <v>0</v>
      </c>
      <c r="E129" s="4">
        <f>ROUND(146200,2)</f>
        <v>146200</v>
      </c>
      <c r="F129" s="4">
        <f>ROUND(0,2)</f>
        <v>0</v>
      </c>
      <c r="G129" s="4">
        <f>ROUND(146200,2)</f>
        <v>146200</v>
      </c>
      <c r="H129" s="4">
        <f>ROUND(0,2)</f>
        <v>0</v>
      </c>
      <c r="I129" s="4">
        <f t="shared" si="25"/>
        <v>0</v>
      </c>
      <c r="J129" s="4">
        <f>ROUND(0,2)</f>
        <v>0</v>
      </c>
      <c r="K129" s="4">
        <f t="shared" si="26"/>
        <v>0</v>
      </c>
    </row>
    <row r="130" spans="1:11" ht="27.75">
      <c r="A130" s="2" t="s">
        <v>355</v>
      </c>
      <c r="B130" s="3" t="s">
        <v>127</v>
      </c>
      <c r="C130" s="3" t="s">
        <v>342</v>
      </c>
      <c r="D130" s="4">
        <f>ROUND(9730000,2)</f>
        <v>9730000</v>
      </c>
      <c r="E130" s="4">
        <f>ROUND(0,2)</f>
        <v>0</v>
      </c>
      <c r="F130" s="4">
        <f>ROUND(9700000,2)</f>
        <v>9700000</v>
      </c>
      <c r="G130" s="4">
        <f>ROUND(30000,2)</f>
        <v>30000</v>
      </c>
      <c r="H130" s="4">
        <f>ROUND(149943.1,2)</f>
        <v>149943.1</v>
      </c>
      <c r="I130" s="4">
        <f t="shared" si="25"/>
        <v>0</v>
      </c>
      <c r="J130" s="4">
        <f>ROUND(149943.1,2)</f>
        <v>149943.1</v>
      </c>
      <c r="K130" s="4">
        <f t="shared" si="26"/>
        <v>0</v>
      </c>
    </row>
    <row r="131" spans="1:11" ht="45.75">
      <c r="A131" s="2" t="s">
        <v>241</v>
      </c>
      <c r="B131" s="3" t="s">
        <v>358</v>
      </c>
      <c r="C131" s="3" t="s">
        <v>13</v>
      </c>
      <c r="D131" s="4">
        <f>ROUND(9700000,2)</f>
        <v>9700000</v>
      </c>
      <c r="E131" s="4">
        <f>ROUND(0,2)</f>
        <v>0</v>
      </c>
      <c r="F131" s="4">
        <f>ROUND(9700000,2)</f>
        <v>9700000</v>
      </c>
      <c r="G131" s="4">
        <f>ROUND(0,2)</f>
        <v>0</v>
      </c>
      <c r="H131" s="4">
        <f>ROUND(149943.1,2)</f>
        <v>149943.1</v>
      </c>
      <c r="I131" s="4">
        <f t="shared" si="25"/>
        <v>0</v>
      </c>
      <c r="J131" s="4">
        <f>ROUND(149943.1,2)</f>
        <v>149943.1</v>
      </c>
      <c r="K131" s="4">
        <f t="shared" si="26"/>
        <v>0</v>
      </c>
    </row>
    <row r="132" spans="1:11" ht="27.75">
      <c r="A132" s="2" t="s">
        <v>22</v>
      </c>
      <c r="B132" s="3" t="s">
        <v>182</v>
      </c>
      <c r="C132" s="3" t="s">
        <v>264</v>
      </c>
      <c r="D132" s="4">
        <f>ROUND(30000,2)</f>
        <v>30000</v>
      </c>
      <c r="E132" s="4">
        <f>ROUND(0,2)</f>
        <v>0</v>
      </c>
      <c r="F132" s="4">
        <f>ROUND(0,2)</f>
        <v>0</v>
      </c>
      <c r="G132" s="4">
        <f>ROUND(30000,2)</f>
        <v>30000</v>
      </c>
      <c r="H132" s="4">
        <f>ROUND(0,2)</f>
        <v>0</v>
      </c>
      <c r="I132" s="4">
        <f t="shared" si="25"/>
        <v>0</v>
      </c>
      <c r="J132" s="4">
        <f>ROUND(0,2)</f>
        <v>0</v>
      </c>
      <c r="K132" s="4">
        <f t="shared" si="26"/>
        <v>0</v>
      </c>
    </row>
    <row r="133" spans="1:11" ht="81.75">
      <c r="A133" s="2" t="s">
        <v>73</v>
      </c>
      <c r="B133" s="3" t="s">
        <v>20</v>
      </c>
      <c r="C133" s="3" t="s">
        <v>371</v>
      </c>
      <c r="D133" s="4">
        <f>ROUND(0,2)</f>
        <v>0</v>
      </c>
      <c r="E133" s="4">
        <f>ROUND(0,2)</f>
        <v>0</v>
      </c>
      <c r="F133" s="4">
        <f>ROUND(0,2)</f>
        <v>0</v>
      </c>
      <c r="G133" s="4">
        <f>ROUND(0,2)</f>
        <v>0</v>
      </c>
      <c r="H133" s="4">
        <f>ROUND(-402001.39,2)</f>
        <v>-402001.39</v>
      </c>
      <c r="I133" s="4">
        <f t="shared" si="25"/>
        <v>0</v>
      </c>
      <c r="J133" s="4">
        <f>ROUND(-402001.39,2)</f>
        <v>-402001.39</v>
      </c>
      <c r="K133" s="4">
        <f t="shared" si="26"/>
        <v>0</v>
      </c>
    </row>
    <row r="134" spans="1:11" ht="81.75">
      <c r="A134" s="2" t="s">
        <v>322</v>
      </c>
      <c r="B134" s="3" t="s">
        <v>106</v>
      </c>
      <c r="C134" s="3" t="s">
        <v>129</v>
      </c>
      <c r="D134" s="4">
        <f>ROUND(0,2)</f>
        <v>0</v>
      </c>
      <c r="E134" s="4">
        <f>ROUND(0,2)</f>
        <v>0</v>
      </c>
      <c r="F134" s="4">
        <f>ROUND(0,2)</f>
        <v>0</v>
      </c>
      <c r="G134" s="4">
        <f>ROUND(0,2)</f>
        <v>0</v>
      </c>
      <c r="H134" s="4">
        <f>ROUND(-402001.39,2)</f>
        <v>-402001.39</v>
      </c>
      <c r="I134" s="4">
        <f t="shared" si="25"/>
        <v>0</v>
      </c>
      <c r="J134" s="4">
        <f>ROUND(-402001.39,2)</f>
        <v>-402001.39</v>
      </c>
      <c r="K134" s="4">
        <f t="shared" si="26"/>
        <v>0</v>
      </c>
    </row>
    <row r="135" spans="9:11" ht="12.75">
      <c r="I135" s="6"/>
      <c r="J135" s="6"/>
      <c r="K135" s="6"/>
    </row>
    <row r="136" spans="3:11" ht="12.75" customHeight="1">
      <c r="C136" t="s">
        <v>405</v>
      </c>
      <c r="H136" t="s">
        <v>406</v>
      </c>
      <c r="I136" s="6"/>
      <c r="J136" s="6"/>
      <c r="K136" s="6"/>
    </row>
    <row r="137" spans="9:11" ht="12.75">
      <c r="I137" s="6"/>
      <c r="J137" s="6"/>
      <c r="K137" s="6"/>
    </row>
    <row r="138" spans="3:11" ht="12.75" customHeight="1">
      <c r="C138" t="s">
        <v>407</v>
      </c>
      <c r="H138" t="s">
        <v>408</v>
      </c>
      <c r="I138" s="6"/>
      <c r="J138" s="6"/>
      <c r="K138" s="6"/>
    </row>
  </sheetData>
  <mergeCells count="16">
    <mergeCell ref="I135:K135"/>
    <mergeCell ref="I136:K136"/>
    <mergeCell ref="I137:K137"/>
    <mergeCell ref="I138:K138"/>
    <mergeCell ref="I1:K1"/>
    <mergeCell ref="I2:K2"/>
    <mergeCell ref="I3:K3"/>
    <mergeCell ref="G1:H1"/>
    <mergeCell ref="G2:H2"/>
    <mergeCell ref="G3:H3"/>
    <mergeCell ref="A1:B1"/>
    <mergeCell ref="A2:B2"/>
    <mergeCell ref="A3:B3"/>
    <mergeCell ref="C1:F1"/>
    <mergeCell ref="C2:F2"/>
    <mergeCell ref="C3:F3"/>
  </mergeCells>
  <printOptions gridLines="1"/>
  <pageMargins left="0.75" right="0.75" top="0.4166666666666667" bottom="0.4166666666666667" header="0.1388888888888889" footer="0.4166666666666667"/>
  <pageSetup horizontalDpi="600" verticalDpi="600" orientation="portrait" paperSize="9" scale="69" r:id="rId1"/>
  <headerFooter alignWithMargins="0"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buh1</cp:lastModifiedBy>
  <dcterms:created xsi:type="dcterms:W3CDTF">2012-03-13T09:26:09Z</dcterms:created>
  <dcterms:modified xsi:type="dcterms:W3CDTF">2012-03-13T09:26:09Z</dcterms:modified>
  <cp:category/>
  <cp:version/>
  <cp:contentType/>
  <cp:contentStatus/>
</cp:coreProperties>
</file>