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  <definedName name="_xlnm.Print_Area" localSheetId="0">'Sheet2'!$A$1:$K$37</definedName>
  </definedNames>
  <calcPr fullCalcOnLoad="1"/>
</workbook>
</file>

<file path=xl/sharedStrings.xml><?xml version="1.0" encoding="utf-8"?>
<sst xmlns="http://schemas.openxmlformats.org/spreadsheetml/2006/main" count="113" uniqueCount="108">
  <si>
    <t>18,10</t>
  </si>
  <si>
    <t>ВСЕГО по Новохоперскому району</t>
  </si>
  <si>
    <t>16  16 Муниципальные районы Исполнено</t>
  </si>
  <si>
    <t>00000000000000000226</t>
  </si>
  <si>
    <t>Обслуживание внутренних долговых обязательств</t>
  </si>
  <si>
    <t>Социальные пособия, выплачиваемые организациями сектора государственного управления</t>
  </si>
  <si>
    <t>12  12 Консолидированный Исполнено</t>
  </si>
  <si>
    <t>18,4</t>
  </si>
  <si>
    <t>Расходы</t>
  </si>
  <si>
    <t>00000000000000000262</t>
  </si>
  <si>
    <t>18,14</t>
  </si>
  <si>
    <t>Пособия по социальной помощи населению</t>
  </si>
  <si>
    <t>00000000000000000222</t>
  </si>
  <si>
    <t>Расходы бюджета - ВСЕГО</t>
  </si>
  <si>
    <t>00000000000000000241</t>
  </si>
  <si>
    <t>18,2</t>
  </si>
  <si>
    <t>17  17 Городские и сельские поселения Исполнено</t>
  </si>
  <si>
    <t>7  7 Муниципальные районы План на год</t>
  </si>
  <si>
    <t>00000000000000000224</t>
  </si>
  <si>
    <t>18,12</t>
  </si>
  <si>
    <t>00000000000000000220</t>
  </si>
  <si>
    <t>18,18</t>
  </si>
  <si>
    <t>№ листа / № строки</t>
  </si>
  <si>
    <t>00000000000000000260</t>
  </si>
  <si>
    <t>Оплата труда</t>
  </si>
  <si>
    <t>18,33</t>
  </si>
  <si>
    <t>18,6</t>
  </si>
  <si>
    <t>Результат исполнения бюджета (дефицит "--", профицит "+")</t>
  </si>
  <si>
    <t>18,8</t>
  </si>
  <si>
    <t>Социальное обеспечение</t>
  </si>
  <si>
    <t>Прочие выплаты</t>
  </si>
  <si>
    <t>00079000000000000000</t>
  </si>
  <si>
    <t>00000000000000000213</t>
  </si>
  <si>
    <t>4  4 Суммы, подлежащие исключению Консолид. План на год</t>
  </si>
  <si>
    <t>00098000000000000000</t>
  </si>
  <si>
    <t>8  8 Городские и сельские поселения План на год</t>
  </si>
  <si>
    <t>18,21</t>
  </si>
  <si>
    <t>Приобретение услуг</t>
  </si>
  <si>
    <t>18,27</t>
  </si>
  <si>
    <t>00000000000000000251</t>
  </si>
  <si>
    <t>00000000000000000211</t>
  </si>
  <si>
    <t>18,29</t>
  </si>
  <si>
    <t>18,42</t>
  </si>
  <si>
    <t>Оплата труда и начисления на оплату труда</t>
  </si>
  <si>
    <t>Транспортные услуги</t>
  </si>
  <si>
    <t>00000000000000000230</t>
  </si>
  <si>
    <t>Безвозмездные и безвозвратные перечисления организациям</t>
  </si>
  <si>
    <t>Безвозмездные и безвозвратные перечисления  организациям, за исключением государственных и муниципальных организаций</t>
  </si>
  <si>
    <t>3  3 Консолидированный  План на год</t>
  </si>
  <si>
    <t>Ед. измерения: документа -  руб.</t>
  </si>
  <si>
    <t>00000000000000000340</t>
  </si>
  <si>
    <t>18,30</t>
  </si>
  <si>
    <t>18,5</t>
  </si>
  <si>
    <t>00000000000000000300</t>
  </si>
  <si>
    <t>Арендная плата за пользование имуществом</t>
  </si>
  <si>
    <t>Безвозмездные и безвозвратные перечисления государственным и муниципальным организациям</t>
  </si>
  <si>
    <t>00000000000000000223</t>
  </si>
  <si>
    <t>Безвозмездные и безвозвратные перечисления бюджетам</t>
  </si>
  <si>
    <t>Обслуживание долговых обязательств</t>
  </si>
  <si>
    <t>00000000000000000263</t>
  </si>
  <si>
    <t>18,15</t>
  </si>
  <si>
    <t>18,11</t>
  </si>
  <si>
    <t>Наименование показателя</t>
  </si>
  <si>
    <t>00000000000000000242</t>
  </si>
  <si>
    <t>Услуги связи</t>
  </si>
  <si>
    <t>18,1</t>
  </si>
  <si>
    <t>18,17</t>
  </si>
  <si>
    <t>18,19</t>
  </si>
  <si>
    <t>00000000000000000221</t>
  </si>
  <si>
    <t>18,9</t>
  </si>
  <si>
    <t>МЕСЯЧНЫЙ ОТЧЕТ ОБ ИСПОЛНЕНИИ БЮДЖЕТА</t>
  </si>
  <si>
    <t>18,7</t>
  </si>
  <si>
    <t>00000000000000000200</t>
  </si>
  <si>
    <t>00000000000000000240</t>
  </si>
  <si>
    <t>Увеличение стоимости материальных запасов</t>
  </si>
  <si>
    <t>18,3</t>
  </si>
  <si>
    <t>13  13 Суммы, подлежащие исключению Консолид. Исполнено</t>
  </si>
  <si>
    <t>18,13</t>
  </si>
  <si>
    <t xml:space="preserve"> </t>
  </si>
  <si>
    <t>00000000000000000225</t>
  </si>
  <si>
    <t>Поступление нефинансовых активов</t>
  </si>
  <si>
    <t>18,20</t>
  </si>
  <si>
    <t>00000000000000000310</t>
  </si>
  <si>
    <t>Прочие услуги</t>
  </si>
  <si>
    <t>18,41</t>
  </si>
  <si>
    <t>Коммунальные услуги</t>
  </si>
  <si>
    <t>Начисления на оплату труда</t>
  </si>
  <si>
    <t>18,24</t>
  </si>
  <si>
    <t>Ед. измерения: отчета -  руб.</t>
  </si>
  <si>
    <t>00000000000000000212</t>
  </si>
  <si>
    <t>Услуги по содержанию имущества</t>
  </si>
  <si>
    <t>Код показателя</t>
  </si>
  <si>
    <t>00096000000000000000</t>
  </si>
  <si>
    <t>00000000000000000231</t>
  </si>
  <si>
    <t>Увеличение стоимости основных средств</t>
  </si>
  <si>
    <t>Прочие расходы</t>
  </si>
  <si>
    <t>18,28</t>
  </si>
  <si>
    <t>00000000000000000210</t>
  </si>
  <si>
    <t>Расходы бюджета - ИТОГО</t>
  </si>
  <si>
    <t>18,26</t>
  </si>
  <si>
    <t>00000000000000000250</t>
  </si>
  <si>
    <t>00000000000000000290</t>
  </si>
  <si>
    <t>Перечисления другим бюджетам бюджетной системы Российской Федерации</t>
  </si>
  <si>
    <t>Расходы бюджета (краткие) на 01.11.2012</t>
  </si>
  <si>
    <t>Начальник отдела финансов</t>
  </si>
  <si>
    <t>Е.Н.Гусева</t>
  </si>
  <si>
    <t>Главный бухгалтер</t>
  </si>
  <si>
    <t>Н.И.Сарычева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</si>
</sst>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7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8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wrapText="1"/>
    </xf>
    <xf numFmtId="167" fontId="1" fillId="0" borderId="0" xfId="0" applyAlignment="1">
      <alignment horizontal="right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1" fillId="0" borderId="0" xfId="0" applyAlignment="1">
      <alignment horizontal="right" vertical="top" wrapText="1"/>
    </xf>
    <xf numFmtId="0" fontId="5" fillId="0" borderId="0" xfId="0" applyAlignment="1">
      <alignment horizontal="left" vertical="top" wrapText="1"/>
    </xf>
    <xf numFmtId="0" fontId="4" fillId="0" borderId="0" xfId="0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BreakPreview" zoomScale="60" workbookViewId="0" topLeftCell="A1">
      <selection activeCell="A2" sqref="A2:D2"/>
    </sheetView>
  </sheetViews>
  <sheetFormatPr defaultColWidth="9.140625" defaultRowHeight="12.75"/>
  <cols>
    <col min="1" max="1" width="8.57421875" style="0" customWidth="1"/>
    <col min="2" max="2" width="16.00390625" style="0" customWidth="1"/>
    <col min="3" max="3" width="28.421875" style="0" customWidth="1"/>
    <col min="4" max="4" width="12.00390625" style="0" customWidth="1"/>
    <col min="5" max="5" width="10.140625" style="0" customWidth="1"/>
    <col min="6" max="8" width="11.8515625" style="0" customWidth="1"/>
    <col min="9" max="9" width="10.140625" style="0" customWidth="1"/>
    <col min="10" max="12" width="11.00390625" style="0" customWidth="1"/>
  </cols>
  <sheetData>
    <row r="1" spans="1:11" ht="12.75">
      <c r="A1" s="5"/>
      <c r="B1" s="6"/>
      <c r="C1" s="6"/>
      <c r="D1" s="6"/>
      <c r="E1" s="7" t="s">
        <v>70</v>
      </c>
      <c r="F1" s="6"/>
      <c r="G1" s="6"/>
      <c r="H1" s="6"/>
      <c r="I1" s="8" t="s">
        <v>88</v>
      </c>
      <c r="J1" s="6"/>
      <c r="K1" s="6"/>
    </row>
    <row r="2" spans="1:11" ht="12.75">
      <c r="A2" s="5"/>
      <c r="B2" s="6"/>
      <c r="C2" s="6"/>
      <c r="D2" s="6"/>
      <c r="E2" s="11" t="s">
        <v>103</v>
      </c>
      <c r="F2" s="6"/>
      <c r="G2" s="6"/>
      <c r="H2" s="6"/>
      <c r="I2" s="8" t="s">
        <v>49</v>
      </c>
      <c r="J2" s="6"/>
      <c r="K2" s="6"/>
    </row>
    <row r="3" spans="1:11" ht="12.75">
      <c r="A3" s="5" t="s">
        <v>78</v>
      </c>
      <c r="B3" s="6"/>
      <c r="C3" s="6"/>
      <c r="D3" s="6"/>
      <c r="E3" s="7" t="s">
        <v>1</v>
      </c>
      <c r="F3" s="6"/>
      <c r="G3" s="6"/>
      <c r="H3" s="6"/>
      <c r="I3" s="5" t="s">
        <v>78</v>
      </c>
      <c r="J3" s="6"/>
      <c r="K3" s="6"/>
    </row>
    <row r="4" spans="1:12" ht="72">
      <c r="A4" s="1" t="s">
        <v>22</v>
      </c>
      <c r="B4" s="1" t="s">
        <v>91</v>
      </c>
      <c r="C4" s="1" t="s">
        <v>62</v>
      </c>
      <c r="D4" s="1" t="s">
        <v>48</v>
      </c>
      <c r="E4" s="1" t="s">
        <v>33</v>
      </c>
      <c r="F4" s="1" t="s">
        <v>17</v>
      </c>
      <c r="G4" s="1" t="s">
        <v>35</v>
      </c>
      <c r="H4" s="1" t="s">
        <v>6</v>
      </c>
      <c r="I4" s="1" t="s">
        <v>76</v>
      </c>
      <c r="J4" s="1" t="s">
        <v>2</v>
      </c>
      <c r="K4" s="1" t="s">
        <v>16</v>
      </c>
      <c r="L4" s="12"/>
    </row>
    <row r="5" spans="1:12" ht="12.75">
      <c r="A5" s="2" t="s">
        <v>65</v>
      </c>
      <c r="B5" s="3" t="s">
        <v>92</v>
      </c>
      <c r="C5" s="3" t="s">
        <v>98</v>
      </c>
      <c r="D5" s="4">
        <f>ROUND(1163951332.59,2)</f>
        <v>1163951332.59</v>
      </c>
      <c r="E5" s="4">
        <f>ROUND(93602140,2)</f>
        <v>93602140</v>
      </c>
      <c r="F5" s="4">
        <f>ROUND(1051027499.32,2)</f>
        <v>1051027499.32</v>
      </c>
      <c r="G5" s="4">
        <f>ROUND(206525973.27,2)</f>
        <v>206525973.27</v>
      </c>
      <c r="H5" s="4">
        <f>ROUND(947185367.73,2)</f>
        <v>947185367.73</v>
      </c>
      <c r="I5" s="4">
        <f>ROUND(60585288.76,2)</f>
        <v>60585288.76</v>
      </c>
      <c r="J5" s="4">
        <f>ROUND(849649218.62,2)</f>
        <v>849649218.62</v>
      </c>
      <c r="K5" s="4">
        <f>ROUND(158121437.87,2)</f>
        <v>158121437.87</v>
      </c>
      <c r="L5" s="4"/>
    </row>
    <row r="6" spans="1:12" ht="12.75">
      <c r="A6" s="2" t="s">
        <v>15</v>
      </c>
      <c r="B6" s="3" t="s">
        <v>72</v>
      </c>
      <c r="C6" s="3" t="s">
        <v>8</v>
      </c>
      <c r="D6" s="4">
        <f>ROUND(599927209.97,2)</f>
        <v>599927209.97</v>
      </c>
      <c r="E6" s="4">
        <f>ROUND(93602140,2)</f>
        <v>93602140</v>
      </c>
      <c r="F6" s="4">
        <f>ROUND(533368654.69,2)</f>
        <v>533368654.69</v>
      </c>
      <c r="G6" s="4">
        <f>ROUND(160160695.28,2)</f>
        <v>160160695.28</v>
      </c>
      <c r="H6" s="4">
        <f>ROUND(488780359.13,2)</f>
        <v>488780359.13</v>
      </c>
      <c r="I6" s="4">
        <f>ROUND(60585288.76,2)</f>
        <v>60585288.76</v>
      </c>
      <c r="J6" s="4">
        <f>ROUND(418683912.36,2)</f>
        <v>418683912.36</v>
      </c>
      <c r="K6" s="4">
        <f>ROUND(130681735.53,2)</f>
        <v>130681735.53</v>
      </c>
      <c r="L6" s="4"/>
    </row>
    <row r="7" spans="1:12" ht="18.75">
      <c r="A7" s="2" t="s">
        <v>75</v>
      </c>
      <c r="B7" s="3" t="s">
        <v>97</v>
      </c>
      <c r="C7" s="3" t="s">
        <v>43</v>
      </c>
      <c r="D7" s="4">
        <f>ROUND(295286534.78,2)</f>
        <v>295286534.78</v>
      </c>
      <c r="E7" s="4">
        <f aca="true" t="shared" si="0" ref="E7:E22">ROUND(0,2)</f>
        <v>0</v>
      </c>
      <c r="F7" s="4">
        <f>ROUND(213947438.78,2)</f>
        <v>213947438.78</v>
      </c>
      <c r="G7" s="4">
        <f>ROUND(81339096,2)</f>
        <v>81339096</v>
      </c>
      <c r="H7" s="4">
        <f>ROUND(231907345.56,2)</f>
        <v>231907345.56</v>
      </c>
      <c r="I7" s="4">
        <f aca="true" t="shared" si="1" ref="I7:I22">ROUND(0,2)</f>
        <v>0</v>
      </c>
      <c r="J7" s="4">
        <f>ROUND(169495349.44,2)</f>
        <v>169495349.44</v>
      </c>
      <c r="K7" s="4">
        <f>ROUND(62411996.12,2)</f>
        <v>62411996.12</v>
      </c>
      <c r="L7" s="4"/>
    </row>
    <row r="8" spans="1:12" ht="12.75">
      <c r="A8" s="2" t="s">
        <v>7</v>
      </c>
      <c r="B8" s="3" t="s">
        <v>40</v>
      </c>
      <c r="C8" s="3" t="s">
        <v>24</v>
      </c>
      <c r="D8" s="4">
        <f>ROUND(225237717.44,2)</f>
        <v>225237717.44</v>
      </c>
      <c r="E8" s="4">
        <f t="shared" si="0"/>
        <v>0</v>
      </c>
      <c r="F8" s="4">
        <f>ROUND(162693504.44,2)</f>
        <v>162693504.44</v>
      </c>
      <c r="G8" s="4">
        <f>ROUND(62544213,2)</f>
        <v>62544213</v>
      </c>
      <c r="H8" s="4">
        <f>ROUND(177048040.23,2)</f>
        <v>177048040.23</v>
      </c>
      <c r="I8" s="4">
        <f t="shared" si="1"/>
        <v>0</v>
      </c>
      <c r="J8" s="4">
        <f>ROUND(128371338.74,2)</f>
        <v>128371338.74</v>
      </c>
      <c r="K8" s="4">
        <f>ROUND(48676701.49,2)</f>
        <v>48676701.49</v>
      </c>
      <c r="L8" s="4"/>
    </row>
    <row r="9" spans="1:12" ht="12.75">
      <c r="A9" s="2" t="s">
        <v>52</v>
      </c>
      <c r="B9" s="3" t="s">
        <v>89</v>
      </c>
      <c r="C9" s="3" t="s">
        <v>30</v>
      </c>
      <c r="D9" s="4">
        <f>ROUND(2915640,2)</f>
        <v>2915640</v>
      </c>
      <c r="E9" s="4">
        <f t="shared" si="0"/>
        <v>0</v>
      </c>
      <c r="F9" s="4">
        <f>ROUND(2812140,2)</f>
        <v>2812140</v>
      </c>
      <c r="G9" s="4">
        <f>ROUND(103500,2)</f>
        <v>103500</v>
      </c>
      <c r="H9" s="4">
        <f>ROUND(2671481.66,2)</f>
        <v>2671481.66</v>
      </c>
      <c r="I9" s="4">
        <f t="shared" si="1"/>
        <v>0</v>
      </c>
      <c r="J9" s="4">
        <f>ROUND(2596781.66,2)</f>
        <v>2596781.66</v>
      </c>
      <c r="K9" s="4">
        <f>ROUND(74700,2)</f>
        <v>74700</v>
      </c>
      <c r="L9" s="4"/>
    </row>
    <row r="10" spans="1:12" ht="12.75">
      <c r="A10" s="2" t="s">
        <v>26</v>
      </c>
      <c r="B10" s="3" t="s">
        <v>32</v>
      </c>
      <c r="C10" s="3" t="s">
        <v>86</v>
      </c>
      <c r="D10" s="4">
        <f>ROUND(67133177.34,2)</f>
        <v>67133177.34</v>
      </c>
      <c r="E10" s="4">
        <f t="shared" si="0"/>
        <v>0</v>
      </c>
      <c r="F10" s="4">
        <f>ROUND(48441794.34,2)</f>
        <v>48441794.34</v>
      </c>
      <c r="G10" s="4">
        <f>ROUND(18691383,2)</f>
        <v>18691383</v>
      </c>
      <c r="H10" s="4">
        <f>ROUND(52187823.67,2)</f>
        <v>52187823.67</v>
      </c>
      <c r="I10" s="4">
        <f t="shared" si="1"/>
        <v>0</v>
      </c>
      <c r="J10" s="4">
        <f>ROUND(38527229.04,2)</f>
        <v>38527229.04</v>
      </c>
      <c r="K10" s="4">
        <f>ROUND(13660594.63,2)</f>
        <v>13660594.63</v>
      </c>
      <c r="L10" s="4"/>
    </row>
    <row r="11" spans="1:12" ht="12.75">
      <c r="A11" s="2" t="s">
        <v>71</v>
      </c>
      <c r="B11" s="3" t="s">
        <v>20</v>
      </c>
      <c r="C11" s="3" t="s">
        <v>37</v>
      </c>
      <c r="D11" s="4">
        <f>ROUND(137017626.4,2)</f>
        <v>137017626.4</v>
      </c>
      <c r="E11" s="4">
        <f t="shared" si="0"/>
        <v>0</v>
      </c>
      <c r="F11" s="4">
        <f>ROUND(75168510.12,2)</f>
        <v>75168510.12</v>
      </c>
      <c r="G11" s="4">
        <f>ROUND(61849116.28,2)</f>
        <v>61849116.28</v>
      </c>
      <c r="H11" s="4">
        <f>ROUND(104837344.96,2)</f>
        <v>104837344.96</v>
      </c>
      <c r="I11" s="4">
        <f t="shared" si="1"/>
        <v>0</v>
      </c>
      <c r="J11" s="4">
        <f>ROUND(53151424.94,2)</f>
        <v>53151424.94</v>
      </c>
      <c r="K11" s="4">
        <f>ROUND(51685920.02,2)</f>
        <v>51685920.02</v>
      </c>
      <c r="L11" s="4"/>
    </row>
    <row r="12" spans="1:12" ht="12.75">
      <c r="A12" s="2" t="s">
        <v>28</v>
      </c>
      <c r="B12" s="3" t="s">
        <v>68</v>
      </c>
      <c r="C12" s="3" t="s">
        <v>64</v>
      </c>
      <c r="D12" s="4">
        <f>ROUND(5002179.12,2)</f>
        <v>5002179.12</v>
      </c>
      <c r="E12" s="4">
        <f t="shared" si="0"/>
        <v>0</v>
      </c>
      <c r="F12" s="4">
        <f>ROUND(3709113.12,2)</f>
        <v>3709113.12</v>
      </c>
      <c r="G12" s="4">
        <f>ROUND(1293066,2)</f>
        <v>1293066</v>
      </c>
      <c r="H12" s="4">
        <f>ROUND(4330568.39,2)</f>
        <v>4330568.39</v>
      </c>
      <c r="I12" s="4">
        <f t="shared" si="1"/>
        <v>0</v>
      </c>
      <c r="J12" s="4">
        <f>ROUND(3194482.71,2)</f>
        <v>3194482.71</v>
      </c>
      <c r="K12" s="4">
        <f>ROUND(1136085.68,2)</f>
        <v>1136085.68</v>
      </c>
      <c r="L12" s="4"/>
    </row>
    <row r="13" spans="1:12" ht="12.75">
      <c r="A13" s="2" t="s">
        <v>69</v>
      </c>
      <c r="B13" s="3" t="s">
        <v>12</v>
      </c>
      <c r="C13" s="3" t="s">
        <v>44</v>
      </c>
      <c r="D13" s="4">
        <f>ROUND(922415.5,2)</f>
        <v>922415.5</v>
      </c>
      <c r="E13" s="4">
        <f t="shared" si="0"/>
        <v>0</v>
      </c>
      <c r="F13" s="4">
        <f>ROUND(330840,2)</f>
        <v>330840</v>
      </c>
      <c r="G13" s="4">
        <f>ROUND(591575.5,2)</f>
        <v>591575.5</v>
      </c>
      <c r="H13" s="4">
        <f>ROUND(690951.58,2)</f>
        <v>690951.58</v>
      </c>
      <c r="I13" s="4">
        <f t="shared" si="1"/>
        <v>0</v>
      </c>
      <c r="J13" s="4">
        <f>ROUND(255406.22,2)</f>
        <v>255406.22</v>
      </c>
      <c r="K13" s="4">
        <f>ROUND(435545.36,2)</f>
        <v>435545.36</v>
      </c>
      <c r="L13" s="4"/>
    </row>
    <row r="14" spans="1:12" ht="12.75">
      <c r="A14" s="2" t="s">
        <v>0</v>
      </c>
      <c r="B14" s="3" t="s">
        <v>56</v>
      </c>
      <c r="C14" s="3" t="s">
        <v>85</v>
      </c>
      <c r="D14" s="4">
        <f>ROUND(26735241,2)</f>
        <v>26735241</v>
      </c>
      <c r="E14" s="4">
        <f t="shared" si="0"/>
        <v>0</v>
      </c>
      <c r="F14" s="4">
        <f>ROUND(14703700,2)</f>
        <v>14703700</v>
      </c>
      <c r="G14" s="4">
        <f>ROUND(12031541,2)</f>
        <v>12031541</v>
      </c>
      <c r="H14" s="4">
        <f>ROUND(21622550.44,2)</f>
        <v>21622550.44</v>
      </c>
      <c r="I14" s="4">
        <f t="shared" si="1"/>
        <v>0</v>
      </c>
      <c r="J14" s="4">
        <f>ROUND(13084286.93,2)</f>
        <v>13084286.93</v>
      </c>
      <c r="K14" s="4">
        <f>ROUND(8538263.51,2)</f>
        <v>8538263.51</v>
      </c>
      <c r="L14" s="4"/>
    </row>
    <row r="15" spans="1:12" ht="18.75">
      <c r="A15" s="2" t="s">
        <v>61</v>
      </c>
      <c r="B15" s="3" t="s">
        <v>18</v>
      </c>
      <c r="C15" s="3" t="s">
        <v>54</v>
      </c>
      <c r="D15" s="4">
        <f>ROUND(24550,2)</f>
        <v>24550</v>
      </c>
      <c r="E15" s="4">
        <f t="shared" si="0"/>
        <v>0</v>
      </c>
      <c r="F15" s="4">
        <f>ROUND(0,2)</f>
        <v>0</v>
      </c>
      <c r="G15" s="4">
        <f>ROUND(24550,2)</f>
        <v>24550</v>
      </c>
      <c r="H15" s="4">
        <f>ROUND(250,2)</f>
        <v>250</v>
      </c>
      <c r="I15" s="4">
        <f t="shared" si="1"/>
        <v>0</v>
      </c>
      <c r="J15" s="4">
        <f>ROUND(0,2)</f>
        <v>0</v>
      </c>
      <c r="K15" s="4">
        <f>ROUND(250,2)</f>
        <v>250</v>
      </c>
      <c r="L15" s="4"/>
    </row>
    <row r="16" spans="1:12" ht="12.75">
      <c r="A16" s="2" t="s">
        <v>19</v>
      </c>
      <c r="B16" s="3" t="s">
        <v>79</v>
      </c>
      <c r="C16" s="3" t="s">
        <v>90</v>
      </c>
      <c r="D16" s="4">
        <f>ROUND(58729933.7,2)</f>
        <v>58729933.7</v>
      </c>
      <c r="E16" s="4">
        <f t="shared" si="0"/>
        <v>0</v>
      </c>
      <c r="F16" s="4">
        <f>ROUND(24333369.7,2)</f>
        <v>24333369.7</v>
      </c>
      <c r="G16" s="4">
        <f>ROUND(34396564,2)</f>
        <v>34396564</v>
      </c>
      <c r="H16" s="4">
        <f>ROUND(38809842.39,2)</f>
        <v>38809842.39</v>
      </c>
      <c r="I16" s="4">
        <f t="shared" si="1"/>
        <v>0</v>
      </c>
      <c r="J16" s="4">
        <f>ROUND(8480409.02,2)</f>
        <v>8480409.02</v>
      </c>
      <c r="K16" s="4">
        <f>ROUND(30329433.37,2)</f>
        <v>30329433.37</v>
      </c>
      <c r="L16" s="4"/>
    </row>
    <row r="17" spans="1:12" ht="12.75">
      <c r="A17" s="2" t="s">
        <v>77</v>
      </c>
      <c r="B17" s="3" t="s">
        <v>3</v>
      </c>
      <c r="C17" s="3" t="s">
        <v>83</v>
      </c>
      <c r="D17" s="4">
        <f>ROUND(45603307.08,2)</f>
        <v>45603307.08</v>
      </c>
      <c r="E17" s="4">
        <f t="shared" si="0"/>
        <v>0</v>
      </c>
      <c r="F17" s="4">
        <f>ROUND(32091487.3,2)</f>
        <v>32091487.3</v>
      </c>
      <c r="G17" s="4">
        <f>ROUND(13511819.78,2)</f>
        <v>13511819.78</v>
      </c>
      <c r="H17" s="4">
        <f>ROUND(39383182.16,2)</f>
        <v>39383182.16</v>
      </c>
      <c r="I17" s="4">
        <f t="shared" si="1"/>
        <v>0</v>
      </c>
      <c r="J17" s="4">
        <f>ROUND(28136840.06,2)</f>
        <v>28136840.06</v>
      </c>
      <c r="K17" s="4">
        <f>ROUND(11246342.1,2)</f>
        <v>11246342.1</v>
      </c>
      <c r="L17" s="4"/>
    </row>
    <row r="18" spans="1:12" ht="12.75">
      <c r="A18" s="2" t="s">
        <v>10</v>
      </c>
      <c r="B18" s="3" t="s">
        <v>45</v>
      </c>
      <c r="C18" s="3" t="s">
        <v>58</v>
      </c>
      <c r="D18" s="4">
        <f>ROUND(356000,2)</f>
        <v>356000</v>
      </c>
      <c r="E18" s="4">
        <f t="shared" si="0"/>
        <v>0</v>
      </c>
      <c r="F18" s="4">
        <f>ROUND(356000,2)</f>
        <v>356000</v>
      </c>
      <c r="G18" s="4">
        <f>ROUND(0,2)</f>
        <v>0</v>
      </c>
      <c r="H18" s="4">
        <f>ROUND(355251.14,2)</f>
        <v>355251.14</v>
      </c>
      <c r="I18" s="4">
        <f t="shared" si="1"/>
        <v>0</v>
      </c>
      <c r="J18" s="4">
        <f>ROUND(355251.14,2)</f>
        <v>355251.14</v>
      </c>
      <c r="K18" s="4">
        <f>ROUND(0,2)</f>
        <v>0</v>
      </c>
      <c r="L18" s="4"/>
    </row>
    <row r="19" spans="1:12" ht="18.75">
      <c r="A19" s="2" t="s">
        <v>60</v>
      </c>
      <c r="B19" s="3" t="s">
        <v>93</v>
      </c>
      <c r="C19" s="3" t="s">
        <v>4</v>
      </c>
      <c r="D19" s="4">
        <f>ROUND(356000,2)</f>
        <v>356000</v>
      </c>
      <c r="E19" s="4">
        <f t="shared" si="0"/>
        <v>0</v>
      </c>
      <c r="F19" s="4">
        <f>ROUND(356000,2)</f>
        <v>356000</v>
      </c>
      <c r="G19" s="4">
        <f>ROUND(0,2)</f>
        <v>0</v>
      </c>
      <c r="H19" s="4">
        <f>ROUND(355251.14,2)</f>
        <v>355251.14</v>
      </c>
      <c r="I19" s="4">
        <f t="shared" si="1"/>
        <v>0</v>
      </c>
      <c r="J19" s="4">
        <f>ROUND(355251.14,2)</f>
        <v>355251.14</v>
      </c>
      <c r="K19" s="4">
        <f>ROUND(0,2)</f>
        <v>0</v>
      </c>
      <c r="L19" s="4"/>
    </row>
    <row r="20" spans="1:12" ht="18.75">
      <c r="A20" s="2" t="s">
        <v>66</v>
      </c>
      <c r="B20" s="3" t="s">
        <v>73</v>
      </c>
      <c r="C20" s="3" t="s">
        <v>46</v>
      </c>
      <c r="D20" s="4">
        <f>ROUND(137014058.88,2)</f>
        <v>137014058.88</v>
      </c>
      <c r="E20" s="4">
        <f t="shared" si="0"/>
        <v>0</v>
      </c>
      <c r="F20" s="4">
        <f>ROUND(124386083.88,2)</f>
        <v>124386083.88</v>
      </c>
      <c r="G20" s="4">
        <f>ROUND(12627975,2)</f>
        <v>12627975</v>
      </c>
      <c r="H20" s="4">
        <f>ROUND(127258528.13,2)</f>
        <v>127258528.13</v>
      </c>
      <c r="I20" s="4">
        <f t="shared" si="1"/>
        <v>0</v>
      </c>
      <c r="J20" s="4">
        <f>ROUND(114630553.13,2)</f>
        <v>114630553.13</v>
      </c>
      <c r="K20" s="4">
        <f>ROUND(12627975,2)</f>
        <v>12627975</v>
      </c>
      <c r="L20" s="4"/>
    </row>
    <row r="21" spans="1:12" ht="27.75">
      <c r="A21" s="2" t="s">
        <v>21</v>
      </c>
      <c r="B21" s="3" t="s">
        <v>14</v>
      </c>
      <c r="C21" s="3" t="s">
        <v>55</v>
      </c>
      <c r="D21" s="4">
        <f>ROUND(122625483.88,2)</f>
        <v>122625483.88</v>
      </c>
      <c r="E21" s="4">
        <f t="shared" si="0"/>
        <v>0</v>
      </c>
      <c r="F21" s="4">
        <f>ROUND(122625483.88,2)</f>
        <v>122625483.88</v>
      </c>
      <c r="G21" s="4">
        <f>ROUND(0,2)</f>
        <v>0</v>
      </c>
      <c r="H21" s="4">
        <f>ROUND(112869953.13,2)</f>
        <v>112869953.13</v>
      </c>
      <c r="I21" s="4">
        <f t="shared" si="1"/>
        <v>0</v>
      </c>
      <c r="J21" s="4">
        <f>ROUND(112869953.13,2)</f>
        <v>112869953.13</v>
      </c>
      <c r="K21" s="4">
        <f>ROUND(0,2)</f>
        <v>0</v>
      </c>
      <c r="L21" s="4"/>
    </row>
    <row r="22" spans="1:12" ht="36.75">
      <c r="A22" s="2" t="s">
        <v>67</v>
      </c>
      <c r="B22" s="3" t="s">
        <v>63</v>
      </c>
      <c r="C22" s="3" t="s">
        <v>47</v>
      </c>
      <c r="D22" s="4">
        <f>ROUND(14388575,2)</f>
        <v>14388575</v>
      </c>
      <c r="E22" s="4">
        <f t="shared" si="0"/>
        <v>0</v>
      </c>
      <c r="F22" s="4">
        <f>ROUND(1760600,2)</f>
        <v>1760600</v>
      </c>
      <c r="G22" s="4">
        <f>ROUND(12627975,2)</f>
        <v>12627975</v>
      </c>
      <c r="H22" s="4">
        <f>ROUND(14388575,2)</f>
        <v>14388575</v>
      </c>
      <c r="I22" s="4">
        <f t="shared" si="1"/>
        <v>0</v>
      </c>
      <c r="J22" s="4">
        <f>ROUND(1760600,2)</f>
        <v>1760600</v>
      </c>
      <c r="K22" s="4">
        <f>ROUND(12627975,2)</f>
        <v>12627975</v>
      </c>
      <c r="L22" s="4"/>
    </row>
    <row r="23" spans="1:12" ht="18.75">
      <c r="A23" s="2" t="s">
        <v>81</v>
      </c>
      <c r="B23" s="3" t="s">
        <v>100</v>
      </c>
      <c r="C23" s="3" t="s">
        <v>57</v>
      </c>
      <c r="D23" s="4">
        <f>ROUND(0,2)</f>
        <v>0</v>
      </c>
      <c r="E23" s="4">
        <f>ROUND(93602140,2)</f>
        <v>93602140</v>
      </c>
      <c r="F23" s="4">
        <f>ROUND(93602140,2)</f>
        <v>93602140</v>
      </c>
      <c r="G23" s="4">
        <f>ROUND(0,2)</f>
        <v>0</v>
      </c>
      <c r="H23" s="4">
        <f>ROUND(0,2)</f>
        <v>0</v>
      </c>
      <c r="I23" s="4">
        <f>ROUND(60585288.76,2)</f>
        <v>60585288.76</v>
      </c>
      <c r="J23" s="4">
        <f>ROUND(60585288.76,2)</f>
        <v>60585288.76</v>
      </c>
      <c r="K23" s="4">
        <f>ROUND(0,2)</f>
        <v>0</v>
      </c>
      <c r="L23" s="4"/>
    </row>
    <row r="24" spans="1:12" ht="27.75">
      <c r="A24" s="2" t="s">
        <v>36</v>
      </c>
      <c r="B24" s="3" t="s">
        <v>39</v>
      </c>
      <c r="C24" s="3" t="s">
        <v>102</v>
      </c>
      <c r="D24" s="4">
        <f>ROUND(0,2)</f>
        <v>0</v>
      </c>
      <c r="E24" s="4">
        <f>ROUND(93602140,2)</f>
        <v>93602140</v>
      </c>
      <c r="F24" s="4">
        <f>ROUND(93602140,2)</f>
        <v>93602140</v>
      </c>
      <c r="G24" s="4">
        <f>ROUND(0,2)</f>
        <v>0</v>
      </c>
      <c r="H24" s="4">
        <f>ROUND(0,2)</f>
        <v>0</v>
      </c>
      <c r="I24" s="4">
        <f>ROUND(60585288.76,2)</f>
        <v>60585288.76</v>
      </c>
      <c r="J24" s="4">
        <f>ROUND(60585288.76,2)</f>
        <v>60585288.76</v>
      </c>
      <c r="K24" s="4">
        <f>ROUND(0,2)</f>
        <v>0</v>
      </c>
      <c r="L24" s="4"/>
    </row>
    <row r="25" spans="1:12" ht="12.75">
      <c r="A25" s="2" t="s">
        <v>87</v>
      </c>
      <c r="B25" s="3" t="s">
        <v>23</v>
      </c>
      <c r="C25" s="3" t="s">
        <v>29</v>
      </c>
      <c r="D25" s="4">
        <f>ROUND(26914061,2)</f>
        <v>26914061</v>
      </c>
      <c r="E25" s="4">
        <f aca="true" t="shared" si="2" ref="E25:E31">ROUND(0,2)</f>
        <v>0</v>
      </c>
      <c r="F25" s="4">
        <f>ROUND(24495210,2)</f>
        <v>24495210</v>
      </c>
      <c r="G25" s="4">
        <f>ROUND(2418851,2)</f>
        <v>2418851</v>
      </c>
      <c r="H25" s="4">
        <f>ROUND(21962837.13,2)</f>
        <v>21962837.13</v>
      </c>
      <c r="I25" s="4">
        <f aca="true" t="shared" si="3" ref="I25:I31">ROUND(0,2)</f>
        <v>0</v>
      </c>
      <c r="J25" s="4">
        <f>ROUND(19688599.74,2)</f>
        <v>19688599.74</v>
      </c>
      <c r="K25" s="4">
        <f>ROUND(2274237.39,2)</f>
        <v>2274237.39</v>
      </c>
      <c r="L25" s="4"/>
    </row>
    <row r="26" spans="1:12" ht="12.75">
      <c r="A26" s="2" t="s">
        <v>99</v>
      </c>
      <c r="B26" s="3" t="s">
        <v>9</v>
      </c>
      <c r="C26" s="3" t="s">
        <v>11</v>
      </c>
      <c r="D26" s="4">
        <f>ROUND(20955270,2)</f>
        <v>20955270</v>
      </c>
      <c r="E26" s="4">
        <f t="shared" si="2"/>
        <v>0</v>
      </c>
      <c r="F26" s="4">
        <f>ROUND(20410210,2)</f>
        <v>20410210</v>
      </c>
      <c r="G26" s="4">
        <f>ROUND(545060,2)</f>
        <v>545060</v>
      </c>
      <c r="H26" s="4">
        <f>ROUND(16168093.82,2)</f>
        <v>16168093.82</v>
      </c>
      <c r="I26" s="4">
        <f t="shared" si="3"/>
        <v>0</v>
      </c>
      <c r="J26" s="4">
        <f>ROUND(15668036.82,2)</f>
        <v>15668036.82</v>
      </c>
      <c r="K26" s="4">
        <f>ROUND(500057,2)</f>
        <v>500057</v>
      </c>
      <c r="L26" s="4"/>
    </row>
    <row r="27" spans="1:12" ht="27.75">
      <c r="A27" s="2" t="s">
        <v>38</v>
      </c>
      <c r="B27" s="3" t="s">
        <v>59</v>
      </c>
      <c r="C27" s="3" t="s">
        <v>5</v>
      </c>
      <c r="D27" s="4">
        <f>ROUND(5958791,2)</f>
        <v>5958791</v>
      </c>
      <c r="E27" s="4">
        <f t="shared" si="2"/>
        <v>0</v>
      </c>
      <c r="F27" s="4">
        <f>ROUND(4085000,2)</f>
        <v>4085000</v>
      </c>
      <c r="G27" s="4">
        <f>ROUND(1873791,2)</f>
        <v>1873791</v>
      </c>
      <c r="H27" s="4">
        <f>ROUND(5794743.31,2)</f>
        <v>5794743.31</v>
      </c>
      <c r="I27" s="4">
        <f t="shared" si="3"/>
        <v>0</v>
      </c>
      <c r="J27" s="4">
        <f>ROUND(4020562.92,2)</f>
        <v>4020562.92</v>
      </c>
      <c r="K27" s="4">
        <f>ROUND(1774180.39,2)</f>
        <v>1774180.39</v>
      </c>
      <c r="L27" s="4"/>
    </row>
    <row r="28" spans="1:12" ht="12.75">
      <c r="A28" s="2" t="s">
        <v>96</v>
      </c>
      <c r="B28" s="3" t="s">
        <v>101</v>
      </c>
      <c r="C28" s="3" t="s">
        <v>95</v>
      </c>
      <c r="D28" s="4">
        <f>ROUND(3338928.91,2)</f>
        <v>3338928.91</v>
      </c>
      <c r="E28" s="4">
        <f t="shared" si="2"/>
        <v>0</v>
      </c>
      <c r="F28" s="4">
        <f>ROUND(1413271.91,2)</f>
        <v>1413271.91</v>
      </c>
      <c r="G28" s="4">
        <f>ROUND(1925657,2)</f>
        <v>1925657</v>
      </c>
      <c r="H28" s="4">
        <f>ROUND(2459052.21,2)</f>
        <v>2459052.21</v>
      </c>
      <c r="I28" s="4">
        <f t="shared" si="3"/>
        <v>0</v>
      </c>
      <c r="J28" s="4">
        <f>ROUND(777445.21,2)</f>
        <v>777445.21</v>
      </c>
      <c r="K28" s="4">
        <f>ROUND(1681607,2)</f>
        <v>1681607</v>
      </c>
      <c r="L28" s="4"/>
    </row>
    <row r="29" spans="1:12" ht="12.75">
      <c r="A29" s="2" t="s">
        <v>41</v>
      </c>
      <c r="B29" s="3" t="s">
        <v>53</v>
      </c>
      <c r="C29" s="3" t="s">
        <v>80</v>
      </c>
      <c r="D29" s="4">
        <f>ROUND(564024122.62,2)</f>
        <v>564024122.62</v>
      </c>
      <c r="E29" s="4">
        <f t="shared" si="2"/>
        <v>0</v>
      </c>
      <c r="F29" s="4">
        <f>ROUND(517658844.63,2)</f>
        <v>517658844.63</v>
      </c>
      <c r="G29" s="4">
        <f>ROUND(46365277.99,2)</f>
        <v>46365277.99</v>
      </c>
      <c r="H29" s="4">
        <f>ROUND(458405008.6,2)</f>
        <v>458405008.6</v>
      </c>
      <c r="I29" s="4">
        <f t="shared" si="3"/>
        <v>0</v>
      </c>
      <c r="J29" s="4">
        <f>ROUND(430965306.26,2)</f>
        <v>430965306.26</v>
      </c>
      <c r="K29" s="4">
        <f>ROUND(27439702.34,2)</f>
        <v>27439702.34</v>
      </c>
      <c r="L29" s="4"/>
    </row>
    <row r="30" spans="1:12" ht="12.75">
      <c r="A30" s="2" t="s">
        <v>51</v>
      </c>
      <c r="B30" s="3" t="s">
        <v>82</v>
      </c>
      <c r="C30" s="3" t="s">
        <v>94</v>
      </c>
      <c r="D30" s="4">
        <f>ROUND(525548177.03,2)</f>
        <v>525548177.03</v>
      </c>
      <c r="E30" s="4">
        <f t="shared" si="2"/>
        <v>0</v>
      </c>
      <c r="F30" s="4">
        <f>ROUND(492617724.03,2)</f>
        <v>492617724.03</v>
      </c>
      <c r="G30" s="4">
        <f>ROUND(32930453,2)</f>
        <v>32930453</v>
      </c>
      <c r="H30" s="4">
        <f>ROUND(426997505.5,2)</f>
        <v>426997505.5</v>
      </c>
      <c r="I30" s="4">
        <f t="shared" si="3"/>
        <v>0</v>
      </c>
      <c r="J30" s="4">
        <f>ROUND(410162084.27,2)</f>
        <v>410162084.27</v>
      </c>
      <c r="K30" s="4">
        <f>ROUND(16835421.23,2)</f>
        <v>16835421.23</v>
      </c>
      <c r="L30" s="4"/>
    </row>
    <row r="31" spans="1:12" ht="18.75">
      <c r="A31" s="2" t="s">
        <v>25</v>
      </c>
      <c r="B31" s="3" t="s">
        <v>50</v>
      </c>
      <c r="C31" s="3" t="s">
        <v>74</v>
      </c>
      <c r="D31" s="4">
        <f>ROUND(38475945.59,2)</f>
        <v>38475945.59</v>
      </c>
      <c r="E31" s="4">
        <f t="shared" si="2"/>
        <v>0</v>
      </c>
      <c r="F31" s="4">
        <f>ROUND(25041120.6,2)</f>
        <v>25041120.6</v>
      </c>
      <c r="G31" s="4">
        <f>ROUND(13434824.99,2)</f>
        <v>13434824.99</v>
      </c>
      <c r="H31" s="4">
        <f>ROUND(31407503.1,2)</f>
        <v>31407503.1</v>
      </c>
      <c r="I31" s="4">
        <f t="shared" si="3"/>
        <v>0</v>
      </c>
      <c r="J31" s="4">
        <f>ROUND(20803221.99,2)</f>
        <v>20803221.99</v>
      </c>
      <c r="K31" s="4">
        <f>ROUND(10604281.11,2)</f>
        <v>10604281.11</v>
      </c>
      <c r="L31" s="4"/>
    </row>
    <row r="32" spans="1:12" ht="12.75">
      <c r="A32" s="2" t="s">
        <v>84</v>
      </c>
      <c r="B32" s="3" t="s">
        <v>34</v>
      </c>
      <c r="C32" s="3" t="s">
        <v>13</v>
      </c>
      <c r="D32" s="4">
        <f>ROUND(1163951332.59,2)</f>
        <v>1163951332.59</v>
      </c>
      <c r="E32" s="4">
        <f>ROUND(93602140,2)</f>
        <v>93602140</v>
      </c>
      <c r="F32" s="4">
        <f>ROUND(1051027499.32,2)</f>
        <v>1051027499.32</v>
      </c>
      <c r="G32" s="4">
        <f>ROUND(206525973.27,2)</f>
        <v>206525973.27</v>
      </c>
      <c r="H32" s="4">
        <f>ROUND(947185367.73,2)</f>
        <v>947185367.73</v>
      </c>
      <c r="I32" s="4">
        <f>ROUND(60585288.76,2)</f>
        <v>60585288.76</v>
      </c>
      <c r="J32" s="4">
        <f>ROUND(849649218.62,2)</f>
        <v>849649218.62</v>
      </c>
      <c r="K32" s="4">
        <f>ROUND(158121437.87,2)</f>
        <v>158121437.87</v>
      </c>
      <c r="L32" s="4"/>
    </row>
    <row r="33" spans="1:12" ht="18.75">
      <c r="A33" s="2" t="s">
        <v>42</v>
      </c>
      <c r="B33" s="3" t="s">
        <v>31</v>
      </c>
      <c r="C33" s="3" t="s">
        <v>27</v>
      </c>
      <c r="D33" s="4">
        <f>ROUND(-153823164.59,2)</f>
        <v>-153823164.59</v>
      </c>
      <c r="E33" s="4">
        <f>ROUND(0,2)</f>
        <v>0</v>
      </c>
      <c r="F33" s="4">
        <f>ROUND(-134776781.32,2)</f>
        <v>-134776781.32</v>
      </c>
      <c r="G33" s="4">
        <f>ROUND(-19046383.27,2)</f>
        <v>-19046383.27</v>
      </c>
      <c r="H33" s="4">
        <f>ROUND(-85794815.25,2)</f>
        <v>-85794815.25</v>
      </c>
      <c r="I33" s="4">
        <f>ROUND(0,2)</f>
        <v>0</v>
      </c>
      <c r="J33" s="4">
        <f>ROUND(-73508157.1,2)</f>
        <v>-73508157.1</v>
      </c>
      <c r="K33" s="4">
        <f>ROUND(-12286658.15,2)</f>
        <v>-12286658.15</v>
      </c>
      <c r="L33" s="4"/>
    </row>
    <row r="34" spans="1:11" ht="12.75">
      <c r="A34" s="5" t="s">
        <v>78</v>
      </c>
      <c r="B34" s="6"/>
      <c r="C34" s="6"/>
      <c r="D34" s="6"/>
      <c r="E34" s="5" t="s">
        <v>78</v>
      </c>
      <c r="F34" s="6"/>
      <c r="G34" s="6"/>
      <c r="H34" s="6"/>
      <c r="I34" s="5" t="s">
        <v>78</v>
      </c>
      <c r="J34" s="6"/>
      <c r="K34" s="6"/>
    </row>
    <row r="35" spans="1:11" ht="15">
      <c r="A35" s="13" t="s">
        <v>104</v>
      </c>
      <c r="B35" s="6"/>
      <c r="C35" s="6"/>
      <c r="D35" s="6"/>
      <c r="E35" s="14" t="s">
        <v>105</v>
      </c>
      <c r="F35" s="15"/>
      <c r="G35" s="15"/>
      <c r="H35" s="16"/>
      <c r="I35" s="10"/>
      <c r="J35" s="6"/>
      <c r="K35" s="6"/>
    </row>
    <row r="36" spans="1:11" ht="12.75">
      <c r="A36" s="9" t="s">
        <v>78</v>
      </c>
      <c r="B36" s="6"/>
      <c r="C36" s="6"/>
      <c r="D36" s="6"/>
      <c r="E36" s="9"/>
      <c r="F36" s="6"/>
      <c r="G36" s="6"/>
      <c r="H36" s="6"/>
      <c r="I36" s="5"/>
      <c r="J36" s="6"/>
      <c r="K36" s="6"/>
    </row>
    <row r="37" spans="1:11" ht="15">
      <c r="A37" s="13" t="s">
        <v>106</v>
      </c>
      <c r="B37" s="6"/>
      <c r="C37" s="6"/>
      <c r="D37" s="6"/>
      <c r="E37" s="17" t="s">
        <v>107</v>
      </c>
      <c r="F37" s="15"/>
      <c r="G37" s="15"/>
      <c r="H37" s="16"/>
      <c r="I37" s="10"/>
      <c r="J37" s="6"/>
      <c r="K37" s="6"/>
    </row>
  </sheetData>
  <mergeCells count="21">
    <mergeCell ref="I35:K35"/>
    <mergeCell ref="I36:K36"/>
    <mergeCell ref="I37:K37"/>
    <mergeCell ref="A35:D35"/>
    <mergeCell ref="A36:D36"/>
    <mergeCell ref="A37:D37"/>
    <mergeCell ref="E34:H34"/>
    <mergeCell ref="E35:H35"/>
    <mergeCell ref="E36:H36"/>
    <mergeCell ref="E37:H37"/>
    <mergeCell ref="I1:K1"/>
    <mergeCell ref="I2:K2"/>
    <mergeCell ref="I3:K3"/>
    <mergeCell ref="A34:D34"/>
    <mergeCell ref="I34:K34"/>
    <mergeCell ref="A1:D1"/>
    <mergeCell ref="A2:D2"/>
    <mergeCell ref="A3:D3"/>
    <mergeCell ref="E1:H1"/>
    <mergeCell ref="E2:H2"/>
    <mergeCell ref="E3:H3"/>
  </mergeCells>
  <printOptions gridLines="1"/>
  <pageMargins left="0.27" right="0.32" top="0.74" bottom="0.4166666666666667" header="0.1388888888888889" footer="0.4166666666666667"/>
  <pageSetup horizontalDpi="600" verticalDpi="600" orientation="landscape" paperSize="9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buh3</cp:lastModifiedBy>
  <cp:lastPrinted>2012-11-19T06:12:17Z</cp:lastPrinted>
  <dcterms:created xsi:type="dcterms:W3CDTF">2012-11-19T06:12:36Z</dcterms:created>
  <dcterms:modified xsi:type="dcterms:W3CDTF">2012-11-19T06:12:36Z</dcterms:modified>
  <cp:category/>
  <cp:version/>
  <cp:contentType/>
  <cp:contentStatus/>
</cp:coreProperties>
</file>