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'Sheet3'!$4:$4</definedName>
    <definedName name="_xlnm.Print_Area" localSheetId="0">'Sheet3'!$A$1:$K$75</definedName>
  </definedNames>
  <calcPr fullCalcOnLoad="1"/>
</workbook>
</file>

<file path=xl/sharedStrings.xml><?xml version="1.0" encoding="utf-8"?>
<sst xmlns="http://schemas.openxmlformats.org/spreadsheetml/2006/main" count="211" uniqueCount="203">
  <si>
    <t>Выплата единовременного пособия при всех формах устройства детей, лишенных родительского попечения, в семью</t>
  </si>
  <si>
    <t>103,3</t>
  </si>
  <si>
    <t>в том числе: в сфере образования</t>
  </si>
  <si>
    <t>101,319</t>
  </si>
  <si>
    <t>101,95</t>
  </si>
  <si>
    <t>14000 000 0000 0000000 000 000</t>
  </si>
  <si>
    <t>10720 000 0000 0000000 000 000</t>
  </si>
  <si>
    <t>13200 000 0800 0000000 000 000</t>
  </si>
  <si>
    <t>101,91</t>
  </si>
  <si>
    <t>в том числе: Организация питания учащихся в общеобразовательных учреждениях</t>
  </si>
  <si>
    <t>12320 000 0000 0000000 000 290</t>
  </si>
  <si>
    <t>00210 000 0000 0000000 000 211</t>
  </si>
  <si>
    <t>101,230</t>
  </si>
  <si>
    <t>12202 000 0000 0000000 000 226</t>
  </si>
  <si>
    <t>03800 000 0700 0000000 000 000</t>
  </si>
  <si>
    <t>103,9</t>
  </si>
  <si>
    <t>Осуществление первичного воинского учета на территориях, где отсутствуют военные комиссариаты</t>
  </si>
  <si>
    <t>02511 000 0409 0000000 000 000</t>
  </si>
  <si>
    <t>103,7</t>
  </si>
  <si>
    <t>Начисления на выплаты по оплате труда</t>
  </si>
  <si>
    <t>ОСТАТКИ СРЕДСТВ БЮДЖЕТОВ НА ОТЧЕТНУЮ ДАТУ:</t>
  </si>
  <si>
    <t>в других сферах</t>
  </si>
  <si>
    <t>103,1</t>
  </si>
  <si>
    <t>101,410</t>
  </si>
  <si>
    <t>101,162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</si>
  <si>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</si>
  <si>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101,395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</si>
  <si>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</si>
  <si>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Служащие</t>
  </si>
  <si>
    <t>Расходы по содержанию органов местного самоуправления, всего</t>
  </si>
  <si>
    <t>00231 000 0000 0000000 000 213</t>
  </si>
  <si>
    <t>начисления на выплаты по оплате труда</t>
  </si>
  <si>
    <t>101,183</t>
  </si>
  <si>
    <t>9  9 Утверждено бюджеты муниципальных районов</t>
  </si>
  <si>
    <t>Поддержка коммунального хозяйства, всего</t>
  </si>
  <si>
    <t>103,5</t>
  </si>
  <si>
    <t>101,414</t>
  </si>
  <si>
    <t>Прочие работы, услуги, всего:</t>
  </si>
  <si>
    <t>101,374</t>
  </si>
  <si>
    <t>№ листа / № строки</t>
  </si>
  <si>
    <t>в том числе: Строительство</t>
  </si>
  <si>
    <t>Мероприятия в области образования</t>
  </si>
  <si>
    <t>10800 000 0000 0000000 000 000</t>
  </si>
  <si>
    <t>Муниципальные служащие</t>
  </si>
  <si>
    <t>08203 000 1004 0000000 000 000</t>
  </si>
  <si>
    <t>101,143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</si>
  <si>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</si>
  <si>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</si>
  <si>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12205 000 0000 0000000 000 226</t>
  </si>
  <si>
    <t>Социальное обеспечение</t>
  </si>
  <si>
    <t>14600 000 0000 0000000 000 000</t>
  </si>
  <si>
    <t>Выплата региональной доплаты к пенсии</t>
  </si>
  <si>
    <t>101,387</t>
  </si>
  <si>
    <t>07900 000 1004 5050502 000 000</t>
  </si>
  <si>
    <t>000 0000 0000000 000 211 01</t>
  </si>
  <si>
    <t>03801 000 0702 0000000 000 000</t>
  </si>
  <si>
    <t>101,429</t>
  </si>
  <si>
    <t>на начисления на выплаты по оплате труда  - по 01 разделу</t>
  </si>
  <si>
    <t>08201 000 1004 0000000 000 000</t>
  </si>
  <si>
    <t>02514 000 0409 0000000 000 000</t>
  </si>
  <si>
    <t>10101 000 0000 0000000 000 000</t>
  </si>
  <si>
    <t>14100 000 0700 0000000 000 000</t>
  </si>
  <si>
    <t>101,260</t>
  </si>
  <si>
    <t>на заработную плату  - по 01 разделу в том числе:</t>
  </si>
  <si>
    <t>101,383</t>
  </si>
  <si>
    <t>Региональные и муниципальные программы в области энергосбережения и повышения энергетической эффективности</t>
  </si>
  <si>
    <t>уплату штрафов, пеней за несвоевременную уплату налогов и сборов, другие экономические санкции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</si>
  <si>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</si>
  <si>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10722 000 0000 0000000 000 000</t>
  </si>
  <si>
    <t>101,305</t>
  </si>
  <si>
    <t>101,22</t>
  </si>
  <si>
    <t>Расходы по содержанию органов местного самоуправления, всего - по 01 разделу</t>
  </si>
  <si>
    <t>101,385</t>
  </si>
  <si>
    <t>101,228</t>
  </si>
  <si>
    <t>00220 000 0000 0000000 000 212</t>
  </si>
  <si>
    <t>101,320</t>
  </si>
  <si>
    <t>21  21 Исполнено бюджеты муниципальных районов</t>
  </si>
  <si>
    <t>Содержание ребенка в семье опекуна и приемной семье, а также вознаграждение, причитающееся приемному родителю</t>
  </si>
  <si>
    <t>101,381</t>
  </si>
  <si>
    <t>12200 000 0000 0000000 000 226</t>
  </si>
  <si>
    <t>101,26</t>
  </si>
  <si>
    <t>12101 000 0000 0000000 000 225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</si>
  <si>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</si>
  <si>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101,28</t>
  </si>
  <si>
    <t>00800 000 0203 0013600 000 000</t>
  </si>
  <si>
    <t>Расходы на содержание имущества, всего:</t>
  </si>
  <si>
    <t>00211 000 0000 0000000 000 211</t>
  </si>
  <si>
    <t>Ед. измерения: документа -  руб.</t>
  </si>
  <si>
    <t>10110 000 0000 0000000 000 000</t>
  </si>
  <si>
    <t>101,90</t>
  </si>
  <si>
    <t>в том числе: выплаты приемной семье на содержание подопечных детей</t>
  </si>
  <si>
    <t>из них: бюджетные инвестиции (без ФАИП)</t>
  </si>
  <si>
    <t>Мероприятия в сфере культуры и кинематографии</t>
  </si>
  <si>
    <t>101,377</t>
  </si>
  <si>
    <t>из них: остатки целевых средств бюджетов</t>
  </si>
  <si>
    <t>02510 000 0409 0000000 000 000</t>
  </si>
  <si>
    <t>103,6</t>
  </si>
  <si>
    <t>101,417</t>
  </si>
  <si>
    <t>02800 000 0501 0000000 000 000</t>
  </si>
  <si>
    <t>103,8</t>
  </si>
  <si>
    <t>04400 000 0800 4400000 000 000</t>
  </si>
  <si>
    <t>12203 000 0000 0000000 000 226</t>
  </si>
  <si>
    <t>10700 000 0000 0000000 000 000</t>
  </si>
  <si>
    <t>101,231</t>
  </si>
  <si>
    <t>услуги вневедомственной (в том числе пожарной) охраны</t>
  </si>
  <si>
    <t>101,379</t>
  </si>
  <si>
    <t>выплаты семьям опекунов на содержание подопечных детей</t>
  </si>
  <si>
    <t>МУНИЦИПАЛЬНЫЙ ДОЛГ, всего</t>
  </si>
  <si>
    <t>103,2</t>
  </si>
  <si>
    <t>101,413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</si>
  <si>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</si>
  <si>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</si>
  <si>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</si>
  <si>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</si>
  <si>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101,398</t>
  </si>
  <si>
    <t>04401 000 0801 4400200 000 000</t>
  </si>
  <si>
    <t>03100 000 0503 0000000 000 000</t>
  </si>
  <si>
    <t>101,144</t>
  </si>
  <si>
    <t>22  22 Исполнено бюджеты муниципальных районов (средства федерального бюджета)</t>
  </si>
  <si>
    <t>10801 000 0000 0000000 000 000</t>
  </si>
  <si>
    <t>101,127</t>
  </si>
  <si>
    <t>101,375</t>
  </si>
  <si>
    <t>101,182</t>
  </si>
  <si>
    <t>103,4</t>
  </si>
  <si>
    <t>12204 000 0000 0000000 000 226</t>
  </si>
  <si>
    <t>101,92</t>
  </si>
  <si>
    <t>08202 000 1004 0000000 000 000</t>
  </si>
  <si>
    <t>МЕСЯЧНЫЙ ОТЧЕТ ОБ ИСПОЛНЕНИИ БЮДЖЕТА</t>
  </si>
  <si>
    <t>объем основного долга по бюджетным кредитам, привлеченным в местный бюджет, всего</t>
  </si>
  <si>
    <t>13000 000 0000 0000000 000 000</t>
  </si>
  <si>
    <t>14200 000 0800 0000000 000 000</t>
  </si>
  <si>
    <t>Прочие расходы, всего:</t>
  </si>
  <si>
    <t>06200 000 1003 0000000 000 000</t>
  </si>
  <si>
    <t>из них расходы на:       заработную плату</t>
  </si>
  <si>
    <t>06100 000 0000 0000000 000 260</t>
  </si>
  <si>
    <t>00230 000 0000 0000000 000 213</t>
  </si>
  <si>
    <t xml:space="preserve"> </t>
  </si>
  <si>
    <t>101,394</t>
  </si>
  <si>
    <t>101,56</t>
  </si>
  <si>
    <t>101,163</t>
  </si>
  <si>
    <t>бюджетные кредиты, полученные из бюджета субъекта Российской Федерации</t>
  </si>
  <si>
    <t>12  12 Утверждено бюджеты городских и сельских поселений (средства федерального бюджета)</t>
  </si>
  <si>
    <t>муниципальных служащих, работников, замещающих муниципальные должности</t>
  </si>
  <si>
    <t>10100 000 0000 0000000 000 000</t>
  </si>
  <si>
    <t>101,302</t>
  </si>
  <si>
    <t>101,25</t>
  </si>
  <si>
    <t>Благоустройство</t>
  </si>
  <si>
    <t>000 0000 0000000 000 213 01</t>
  </si>
  <si>
    <t>08200 000 1004 0000000 000 000</t>
  </si>
  <si>
    <t>03000 000 0502 0000000 000 000</t>
  </si>
  <si>
    <t>в том числе на: содержание в чистоте помещений, зданий, дворов, иного имущества</t>
  </si>
  <si>
    <t>12206 000 0000 0000000 000 226</t>
  </si>
  <si>
    <t>101,382</t>
  </si>
  <si>
    <t>Поддержка жилищного хозяйства, всего</t>
  </si>
  <si>
    <t>12208 000 0000 0000000 000 226</t>
  </si>
  <si>
    <t>02500 000 0409 0000000 000 000</t>
  </si>
  <si>
    <t>101,261</t>
  </si>
  <si>
    <t>101,386</t>
  </si>
  <si>
    <t>Поддержка дорожного хозяйства</t>
  </si>
  <si>
    <t>бюджетные кредиты, полученные из местного бюджета</t>
  </si>
  <si>
    <t>12310 000 0000 0000000 000 290</t>
  </si>
  <si>
    <t>Ремонт и содержание</t>
  </si>
  <si>
    <t>вознаграждение приемного родителя</t>
  </si>
  <si>
    <t>101,388</t>
  </si>
  <si>
    <t>101,225</t>
  </si>
  <si>
    <t>23  23 Исполнено бюджеты городских и сельских поселений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</si>
  <si>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</si>
  <si>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101,21</t>
  </si>
  <si>
    <t>Ед. измерения: отчета -  руб.</t>
  </si>
  <si>
    <t>в том числе:                                                                                                       в сфере образования</t>
  </si>
  <si>
    <t>08100 000 1004 0000000 000 000</t>
  </si>
  <si>
    <t>24  24 Исполнено бюджеты городских и сельских поселений (средства федерального бюджета)</t>
  </si>
  <si>
    <t>101,380</t>
  </si>
  <si>
    <t>10  10 Утверждено бюджеты муниципальных районов (средства федерального бюджета)</t>
  </si>
  <si>
    <t>Код показателя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</si>
  <si>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</si>
  <si>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Региональные и муниципальные  программы (без ФАИП)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</si>
  <si>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</si>
  <si>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прочие выплаты</t>
  </si>
  <si>
    <t>13100 000 0700 0000000 000 000</t>
  </si>
  <si>
    <t>101,263</t>
  </si>
  <si>
    <t>12100 000 0000 0000000 000 225</t>
  </si>
  <si>
    <t>101,29</t>
  </si>
  <si>
    <t>Муниципальные должности</t>
  </si>
  <si>
    <t>101,300</t>
  </si>
  <si>
    <t>00200 000 0000 0000000 000 000</t>
  </si>
  <si>
    <t>101,112</t>
  </si>
  <si>
    <t>10723 000 0000 0000000 000 000</t>
  </si>
  <si>
    <t>101,304</t>
  </si>
  <si>
    <t>101,23</t>
  </si>
  <si>
    <t>услуги в области информационных технологий</t>
  </si>
  <si>
    <t>00221 000 0000 0000000 000 212</t>
  </si>
  <si>
    <t>101,227</t>
  </si>
  <si>
    <t>101,133</t>
  </si>
  <si>
    <t>в сфере культуры и кинематографии</t>
  </si>
  <si>
    <t>101,229</t>
  </si>
  <si>
    <t>13600 000 0000 0000000 000 000</t>
  </si>
  <si>
    <t>Справка к месячному отчету на 01.03.2013</t>
  </si>
  <si>
    <t>Начальник отдела финансов</t>
  </si>
  <si>
    <t>Е.Н.Гусева</t>
  </si>
  <si>
    <t>Главный бухгалтер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</si>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</sst>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C1">
      <selection activeCell="G2" sqref="G2:H2"/>
    </sheetView>
  </sheetViews>
  <sheetFormatPr defaultColWidth="9.140625" defaultRowHeight="12.75"/>
  <cols>
    <col min="1" max="1" width="8.57421875" style="0" customWidth="1"/>
    <col min="2" max="2" width="21.57421875" style="0" customWidth="1"/>
    <col min="3" max="3" width="27.8515625" style="0" customWidth="1"/>
    <col min="4" max="4" width="10.421875" style="0" customWidth="1"/>
    <col min="5" max="7" width="10.140625" style="0" customWidth="1"/>
    <col min="8" max="8" width="10.8515625" style="0" customWidth="1"/>
    <col min="9" max="12" width="10.140625" style="0" customWidth="1"/>
  </cols>
  <sheetData>
    <row r="1" spans="1:11" ht="12.75" customHeight="1">
      <c r="A1" s="6"/>
      <c r="B1" s="7"/>
      <c r="C1" s="9" t="s">
        <v>127</v>
      </c>
      <c r="D1" s="7"/>
      <c r="E1" s="7"/>
      <c r="F1" s="7"/>
      <c r="G1" s="8"/>
      <c r="H1" s="7"/>
      <c r="I1" s="11" t="s">
        <v>168</v>
      </c>
      <c r="J1" s="11"/>
      <c r="K1" s="11"/>
    </row>
    <row r="2" spans="1:11" ht="12.75" customHeight="1">
      <c r="A2" s="6"/>
      <c r="B2" s="7"/>
      <c r="C2" s="10" t="s">
        <v>197</v>
      </c>
      <c r="D2" s="7"/>
      <c r="E2" s="7"/>
      <c r="F2" s="7"/>
      <c r="G2" s="8"/>
      <c r="H2" s="7"/>
      <c r="I2" s="11" t="s">
        <v>87</v>
      </c>
      <c r="J2" s="11"/>
      <c r="K2" s="11"/>
    </row>
    <row r="3" spans="1:11" ht="12.75">
      <c r="A3" s="6" t="s">
        <v>136</v>
      </c>
      <c r="B3" s="7"/>
      <c r="C3" s="10" t="s">
        <v>202</v>
      </c>
      <c r="D3" s="7"/>
      <c r="E3" s="7"/>
      <c r="F3" s="7"/>
      <c r="G3" s="6" t="s">
        <v>136</v>
      </c>
      <c r="H3" s="7"/>
      <c r="I3" s="7"/>
      <c r="J3" s="7"/>
      <c r="K3" s="7"/>
    </row>
    <row r="4" spans="1:11" ht="90">
      <c r="A4" s="1" t="s">
        <v>39</v>
      </c>
      <c r="B4" s="1" t="s">
        <v>174</v>
      </c>
      <c r="C4" s="1" t="s">
        <v>112</v>
      </c>
      <c r="D4" s="1" t="s">
        <v>33</v>
      </c>
      <c r="E4" s="1" t="s">
        <v>173</v>
      </c>
      <c r="F4" s="1" t="s">
        <v>111</v>
      </c>
      <c r="G4" s="1" t="s">
        <v>141</v>
      </c>
      <c r="H4" s="1" t="s">
        <v>76</v>
      </c>
      <c r="I4" s="1" t="s">
        <v>118</v>
      </c>
      <c r="J4" s="1" t="s">
        <v>165</v>
      </c>
      <c r="K4" s="1" t="s">
        <v>171</v>
      </c>
    </row>
    <row r="5" spans="1:11" ht="18.75">
      <c r="A5" s="2" t="s">
        <v>167</v>
      </c>
      <c r="B5" s="3" t="s">
        <v>185</v>
      </c>
      <c r="C5" s="3" t="s">
        <v>29</v>
      </c>
      <c r="D5" s="4">
        <f>ROUND(42219410.66,2)</f>
        <v>42219410.66</v>
      </c>
      <c r="E5" s="4">
        <f aca="true" t="shared" si="0" ref="E5:E25">ROUND(0,2)</f>
        <v>0</v>
      </c>
      <c r="F5" s="4">
        <f>ROUND(39675732,2)</f>
        <v>39675732</v>
      </c>
      <c r="G5" s="4">
        <f aca="true" t="shared" si="1" ref="G5:G11">ROUND(0,2)</f>
        <v>0</v>
      </c>
      <c r="H5" s="4">
        <f>ROUND(4832586.05,2)</f>
        <v>4832586.05</v>
      </c>
      <c r="I5" s="4">
        <f aca="true" t="shared" si="2" ref="I5:I36">ROUND(0,2)</f>
        <v>0</v>
      </c>
      <c r="J5" s="4">
        <f>ROUND(4898842.31,2)</f>
        <v>4898842.31</v>
      </c>
      <c r="K5" s="4">
        <f aca="true" t="shared" si="3" ref="K5:K11">ROUND(0,2)</f>
        <v>0</v>
      </c>
    </row>
    <row r="6" spans="1:11" ht="12.75">
      <c r="A6" s="2" t="s">
        <v>70</v>
      </c>
      <c r="B6" s="3" t="s">
        <v>11</v>
      </c>
      <c r="C6" s="3" t="s">
        <v>133</v>
      </c>
      <c r="D6" s="4">
        <f>ROUND(25222700,2)</f>
        <v>25222700</v>
      </c>
      <c r="E6" s="4">
        <f t="shared" si="0"/>
        <v>0</v>
      </c>
      <c r="F6" s="4">
        <f>ROUND(21073400,2)</f>
        <v>21073400</v>
      </c>
      <c r="G6" s="4">
        <f t="shared" si="1"/>
        <v>0</v>
      </c>
      <c r="H6" s="4">
        <f>ROUND(2820197.38,2)</f>
        <v>2820197.38</v>
      </c>
      <c r="I6" s="4">
        <f t="shared" si="2"/>
        <v>0</v>
      </c>
      <c r="J6" s="4">
        <f>ROUND(2191101.56,2)</f>
        <v>2191101.56</v>
      </c>
      <c r="K6" s="4">
        <f t="shared" si="3"/>
        <v>0</v>
      </c>
    </row>
    <row r="7" spans="1:11" ht="18.75">
      <c r="A7" s="2" t="s">
        <v>189</v>
      </c>
      <c r="B7" s="3" t="s">
        <v>86</v>
      </c>
      <c r="C7" s="3" t="s">
        <v>142</v>
      </c>
      <c r="D7" s="4">
        <f>ROUND(25222700,2)</f>
        <v>25222700</v>
      </c>
      <c r="E7" s="4">
        <f t="shared" si="0"/>
        <v>0</v>
      </c>
      <c r="F7" s="4">
        <f>ROUND(21073400,2)</f>
        <v>21073400</v>
      </c>
      <c r="G7" s="4">
        <f t="shared" si="1"/>
        <v>0</v>
      </c>
      <c r="H7" s="4">
        <f>ROUND(2820197.38,2)</f>
        <v>2820197.38</v>
      </c>
      <c r="I7" s="4">
        <f t="shared" si="2"/>
        <v>0</v>
      </c>
      <c r="J7" s="4">
        <f>ROUND(2191101.56,2)</f>
        <v>2191101.56</v>
      </c>
      <c r="K7" s="4">
        <f t="shared" si="3"/>
        <v>0</v>
      </c>
    </row>
    <row r="8" spans="1:11" ht="12.75">
      <c r="A8" s="2" t="s">
        <v>145</v>
      </c>
      <c r="B8" s="3" t="s">
        <v>74</v>
      </c>
      <c r="C8" s="3" t="s">
        <v>178</v>
      </c>
      <c r="D8" s="4">
        <f>ROUND(25600,2)</f>
        <v>25600</v>
      </c>
      <c r="E8" s="4">
        <f t="shared" si="0"/>
        <v>0</v>
      </c>
      <c r="F8" s="4">
        <f>ROUND(5000,2)</f>
        <v>5000</v>
      </c>
      <c r="G8" s="4">
        <f t="shared" si="1"/>
        <v>0</v>
      </c>
      <c r="H8" s="4">
        <f>ROUND(300,2)</f>
        <v>300</v>
      </c>
      <c r="I8" s="4">
        <f t="shared" si="2"/>
        <v>0</v>
      </c>
      <c r="J8" s="4">
        <f>ROUND(0,2)</f>
        <v>0</v>
      </c>
      <c r="K8" s="4">
        <f t="shared" si="3"/>
        <v>0</v>
      </c>
    </row>
    <row r="9" spans="1:11" ht="18.75">
      <c r="A9" s="2" t="s">
        <v>80</v>
      </c>
      <c r="B9" s="3" t="s">
        <v>191</v>
      </c>
      <c r="C9" s="3" t="s">
        <v>142</v>
      </c>
      <c r="D9" s="4">
        <f>ROUND(25600,2)</f>
        <v>25600</v>
      </c>
      <c r="E9" s="4">
        <f t="shared" si="0"/>
        <v>0</v>
      </c>
      <c r="F9" s="4">
        <f>ROUND(5000,2)</f>
        <v>5000</v>
      </c>
      <c r="G9" s="4">
        <f t="shared" si="1"/>
        <v>0</v>
      </c>
      <c r="H9" s="4">
        <f>ROUND(300,2)</f>
        <v>300</v>
      </c>
      <c r="I9" s="4">
        <f t="shared" si="2"/>
        <v>0</v>
      </c>
      <c r="J9" s="4">
        <f>ROUND(0,2)</f>
        <v>0</v>
      </c>
      <c r="K9" s="4">
        <f t="shared" si="3"/>
        <v>0</v>
      </c>
    </row>
    <row r="10" spans="1:11" ht="12.75">
      <c r="A10" s="2" t="s">
        <v>83</v>
      </c>
      <c r="B10" s="3" t="s">
        <v>135</v>
      </c>
      <c r="C10" s="3" t="s">
        <v>31</v>
      </c>
      <c r="D10" s="4">
        <f>ROUND(7359700,2)</f>
        <v>7359700</v>
      </c>
      <c r="E10" s="4">
        <f t="shared" si="0"/>
        <v>0</v>
      </c>
      <c r="F10" s="4">
        <f>ROUND(6315500,2)</f>
        <v>6315500</v>
      </c>
      <c r="G10" s="4">
        <f t="shared" si="1"/>
        <v>0</v>
      </c>
      <c r="H10" s="4">
        <f>ROUND(1021982.93,2)</f>
        <v>1021982.93</v>
      </c>
      <c r="I10" s="4">
        <f t="shared" si="2"/>
        <v>0</v>
      </c>
      <c r="J10" s="4">
        <f>ROUND(627588.6,2)</f>
        <v>627588.6</v>
      </c>
      <c r="K10" s="4">
        <f t="shared" si="3"/>
        <v>0</v>
      </c>
    </row>
    <row r="11" spans="1:11" ht="18.75">
      <c r="A11" s="2" t="s">
        <v>182</v>
      </c>
      <c r="B11" s="3" t="s">
        <v>30</v>
      </c>
      <c r="C11" s="3" t="s">
        <v>142</v>
      </c>
      <c r="D11" s="4">
        <f>ROUND(7359700,2)</f>
        <v>7359700</v>
      </c>
      <c r="E11" s="4">
        <f t="shared" si="0"/>
        <v>0</v>
      </c>
      <c r="F11" s="4">
        <f>ROUND(6315500,2)</f>
        <v>6315500</v>
      </c>
      <c r="G11" s="4">
        <f t="shared" si="1"/>
        <v>0</v>
      </c>
      <c r="H11" s="4">
        <f>ROUND(1021982.93,2)</f>
        <v>1021982.93</v>
      </c>
      <c r="I11" s="4">
        <f t="shared" si="2"/>
        <v>0</v>
      </c>
      <c r="J11" s="4">
        <f>ROUND(627588.6,2)</f>
        <v>627588.6</v>
      </c>
      <c r="K11" s="4">
        <f t="shared" si="3"/>
        <v>0</v>
      </c>
    </row>
    <row r="12" spans="1:11" ht="27.75">
      <c r="A12" s="2" t="s">
        <v>138</v>
      </c>
      <c r="B12" s="3" t="s">
        <v>84</v>
      </c>
      <c r="C12" s="3" t="s">
        <v>16</v>
      </c>
      <c r="D12" s="4">
        <f>ROUND(0,2)</f>
        <v>0</v>
      </c>
      <c r="E12" s="4">
        <f t="shared" si="0"/>
        <v>0</v>
      </c>
      <c r="F12" s="4">
        <f>ROUND(1090300,2)</f>
        <v>1090300</v>
      </c>
      <c r="G12" s="4">
        <f>ROUND(1090300,2)</f>
        <v>1090300</v>
      </c>
      <c r="H12" s="4">
        <f aca="true" t="shared" si="4" ref="H12:H19">ROUND(0,2)</f>
        <v>0</v>
      </c>
      <c r="I12" s="4">
        <f t="shared" si="2"/>
        <v>0</v>
      </c>
      <c r="J12" s="4">
        <f>ROUND(87181.89,2)</f>
        <v>87181.89</v>
      </c>
      <c r="K12" s="4">
        <f>ROUND(87181.89,2)</f>
        <v>87181.89</v>
      </c>
    </row>
    <row r="13" spans="1:11" ht="12.75">
      <c r="A13" s="2" t="s">
        <v>89</v>
      </c>
      <c r="B13" s="3" t="s">
        <v>155</v>
      </c>
      <c r="C13" s="3" t="s">
        <v>158</v>
      </c>
      <c r="D13" s="4">
        <f>ROUND(2179023.5,2)</f>
        <v>2179023.5</v>
      </c>
      <c r="E13" s="4">
        <f t="shared" si="0"/>
        <v>0</v>
      </c>
      <c r="F13" s="4">
        <f>ROUND(37065801,2)</f>
        <v>37065801</v>
      </c>
      <c r="G13" s="4">
        <f aca="true" t="shared" si="5" ref="G13:G21">ROUND(0,2)</f>
        <v>0</v>
      </c>
      <c r="H13" s="4">
        <f t="shared" si="4"/>
        <v>0</v>
      </c>
      <c r="I13" s="4">
        <f t="shared" si="2"/>
        <v>0</v>
      </c>
      <c r="J13" s="4">
        <f>ROUND(24634501,2)</f>
        <v>24634501</v>
      </c>
      <c r="K13" s="4">
        <f aca="true" t="shared" si="6" ref="K13:K38">ROUND(0,2)</f>
        <v>0</v>
      </c>
    </row>
    <row r="14" spans="1:11" ht="54.75">
      <c r="A14" s="2" t="s">
        <v>8</v>
      </c>
      <c r="B14" s="3" t="s">
        <v>95</v>
      </c>
      <c r="C14" s="3" t="s">
        <v>177</v>
      </c>
      <c r="D14" s="4">
        <f>ROUND(2179023.5,2)</f>
        <v>2179023.5</v>
      </c>
      <c r="E14" s="4">
        <f t="shared" si="0"/>
        <v>0</v>
      </c>
      <c r="F14" s="4">
        <f>ROUND(37065801,2)</f>
        <v>37065801</v>
      </c>
      <c r="G14" s="4">
        <f t="shared" si="5"/>
        <v>0</v>
      </c>
      <c r="H14" s="4">
        <f t="shared" si="4"/>
        <v>0</v>
      </c>
      <c r="I14" s="4">
        <f t="shared" si="2"/>
        <v>0</v>
      </c>
      <c r="J14" s="4">
        <f>ROUND(24634501,2)</f>
        <v>24634501</v>
      </c>
      <c r="K14" s="4">
        <f t="shared" si="6"/>
        <v>0</v>
      </c>
    </row>
    <row r="15" spans="1:11" ht="12.75">
      <c r="A15" s="2" t="s">
        <v>125</v>
      </c>
      <c r="B15" s="3" t="s">
        <v>17</v>
      </c>
      <c r="C15" s="3" t="s">
        <v>40</v>
      </c>
      <c r="D15" s="4">
        <f>ROUND(2179023.5,2)</f>
        <v>2179023.5</v>
      </c>
      <c r="E15" s="4">
        <f t="shared" si="0"/>
        <v>0</v>
      </c>
      <c r="F15" s="4">
        <f>ROUND(24004501,2)</f>
        <v>24004501</v>
      </c>
      <c r="G15" s="4">
        <f t="shared" si="5"/>
        <v>0</v>
      </c>
      <c r="H15" s="4">
        <f t="shared" si="4"/>
        <v>0</v>
      </c>
      <c r="I15" s="4">
        <f t="shared" si="2"/>
        <v>0</v>
      </c>
      <c r="J15" s="4">
        <f>ROUND(24004501,2)</f>
        <v>24004501</v>
      </c>
      <c r="K15" s="4">
        <f t="shared" si="6"/>
        <v>0</v>
      </c>
    </row>
    <row r="16" spans="1:11" ht="12.75">
      <c r="A16" s="2" t="s">
        <v>4</v>
      </c>
      <c r="B16" s="3" t="s">
        <v>59</v>
      </c>
      <c r="C16" s="3" t="s">
        <v>161</v>
      </c>
      <c r="D16" s="4">
        <f>ROUND(0,2)</f>
        <v>0</v>
      </c>
      <c r="E16" s="4">
        <f t="shared" si="0"/>
        <v>0</v>
      </c>
      <c r="F16" s="4">
        <f>ROUND(13061300,2)</f>
        <v>13061300</v>
      </c>
      <c r="G16" s="4">
        <f t="shared" si="5"/>
        <v>0</v>
      </c>
      <c r="H16" s="4">
        <f t="shared" si="4"/>
        <v>0</v>
      </c>
      <c r="I16" s="4">
        <f t="shared" si="2"/>
        <v>0</v>
      </c>
      <c r="J16" s="4">
        <f>ROUND(630000,2)</f>
        <v>630000</v>
      </c>
      <c r="K16" s="4">
        <f t="shared" si="6"/>
        <v>0</v>
      </c>
    </row>
    <row r="17" spans="1:11" ht="12.75">
      <c r="A17" s="2" t="s">
        <v>186</v>
      </c>
      <c r="B17" s="3" t="s">
        <v>98</v>
      </c>
      <c r="C17" s="3" t="s">
        <v>153</v>
      </c>
      <c r="D17" s="4">
        <f>ROUND(0,2)</f>
        <v>0</v>
      </c>
      <c r="E17" s="4">
        <f t="shared" si="0"/>
        <v>0</v>
      </c>
      <c r="F17" s="4">
        <f>ROUND(250000,2)</f>
        <v>250000</v>
      </c>
      <c r="G17" s="4">
        <f t="shared" si="5"/>
        <v>0</v>
      </c>
      <c r="H17" s="4">
        <f t="shared" si="4"/>
        <v>0</v>
      </c>
      <c r="I17" s="4">
        <f t="shared" si="2"/>
        <v>0</v>
      </c>
      <c r="J17" s="4">
        <f>ROUND(0,2)</f>
        <v>0</v>
      </c>
      <c r="K17" s="4">
        <f t="shared" si="6"/>
        <v>0</v>
      </c>
    </row>
    <row r="18" spans="1:11" ht="18.75">
      <c r="A18" s="2" t="s">
        <v>120</v>
      </c>
      <c r="B18" s="3" t="s">
        <v>149</v>
      </c>
      <c r="C18" s="3" t="s">
        <v>34</v>
      </c>
      <c r="D18" s="4">
        <f>ROUND(0,2)</f>
        <v>0</v>
      </c>
      <c r="E18" s="4">
        <f t="shared" si="0"/>
        <v>0</v>
      </c>
      <c r="F18" s="4">
        <f>ROUND(1836800,2)</f>
        <v>1836800</v>
      </c>
      <c r="G18" s="4">
        <f t="shared" si="5"/>
        <v>0</v>
      </c>
      <c r="H18" s="4">
        <f t="shared" si="4"/>
        <v>0</v>
      </c>
      <c r="I18" s="4">
        <f t="shared" si="2"/>
        <v>0</v>
      </c>
      <c r="J18" s="4">
        <f>ROUND(101450,2)</f>
        <v>101450</v>
      </c>
      <c r="K18" s="4">
        <f t="shared" si="6"/>
        <v>0</v>
      </c>
    </row>
    <row r="19" spans="1:11" ht="12.75">
      <c r="A19" s="2" t="s">
        <v>193</v>
      </c>
      <c r="B19" s="3" t="s">
        <v>116</v>
      </c>
      <c r="C19" s="3" t="s">
        <v>146</v>
      </c>
      <c r="D19" s="4">
        <f>ROUND(0,2)</f>
        <v>0</v>
      </c>
      <c r="E19" s="4">
        <f t="shared" si="0"/>
        <v>0</v>
      </c>
      <c r="F19" s="4">
        <f>ROUND(15659456.09,2)</f>
        <v>15659456.09</v>
      </c>
      <c r="G19" s="4">
        <f t="shared" si="5"/>
        <v>0</v>
      </c>
      <c r="H19" s="4">
        <f t="shared" si="4"/>
        <v>0</v>
      </c>
      <c r="I19" s="4">
        <f t="shared" si="2"/>
        <v>0</v>
      </c>
      <c r="J19" s="4">
        <f>ROUND(3429964.15,2)</f>
        <v>3429964.15</v>
      </c>
      <c r="K19" s="4">
        <f t="shared" si="6"/>
        <v>0</v>
      </c>
    </row>
    <row r="20" spans="1:11" ht="12.75">
      <c r="A20" s="2" t="s">
        <v>45</v>
      </c>
      <c r="B20" s="3" t="s">
        <v>14</v>
      </c>
      <c r="C20" s="3" t="s">
        <v>41</v>
      </c>
      <c r="D20" s="4">
        <f>ROUND(6958300,2)</f>
        <v>6958300</v>
      </c>
      <c r="E20" s="4">
        <f t="shared" si="0"/>
        <v>0</v>
      </c>
      <c r="F20" s="4">
        <f>ROUND(640680,2)</f>
        <v>640680</v>
      </c>
      <c r="G20" s="4">
        <f t="shared" si="5"/>
        <v>0</v>
      </c>
      <c r="H20" s="4">
        <f>ROUND(1314721.34,2)</f>
        <v>1314721.34</v>
      </c>
      <c r="I20" s="4">
        <f t="shared" si="2"/>
        <v>0</v>
      </c>
      <c r="J20" s="4">
        <f>ROUND(9983.23,2)</f>
        <v>9983.23</v>
      </c>
      <c r="K20" s="4">
        <f t="shared" si="6"/>
        <v>0</v>
      </c>
    </row>
    <row r="21" spans="1:11" ht="27.75">
      <c r="A21" s="2" t="s">
        <v>117</v>
      </c>
      <c r="B21" s="3" t="s">
        <v>55</v>
      </c>
      <c r="C21" s="3" t="s">
        <v>9</v>
      </c>
      <c r="D21" s="4">
        <f>ROUND(6958300,2)</f>
        <v>6958300</v>
      </c>
      <c r="E21" s="4">
        <f t="shared" si="0"/>
        <v>0</v>
      </c>
      <c r="F21" s="4">
        <f>ROUND(640680,2)</f>
        <v>640680</v>
      </c>
      <c r="G21" s="4">
        <f t="shared" si="5"/>
        <v>0</v>
      </c>
      <c r="H21" s="4">
        <f>ROUND(1314721.34,2)</f>
        <v>1314721.34</v>
      </c>
      <c r="I21" s="4">
        <f t="shared" si="2"/>
        <v>0</v>
      </c>
      <c r="J21" s="4">
        <f>ROUND(9983.23,2)</f>
        <v>9983.23</v>
      </c>
      <c r="K21" s="4">
        <f t="shared" si="6"/>
        <v>0</v>
      </c>
    </row>
    <row r="22" spans="1:11" ht="18.75">
      <c r="A22" s="2" t="s">
        <v>24</v>
      </c>
      <c r="B22" s="3" t="s">
        <v>100</v>
      </c>
      <c r="C22" s="3" t="s">
        <v>92</v>
      </c>
      <c r="D22" s="4">
        <f>ROUND(0,2)</f>
        <v>0</v>
      </c>
      <c r="E22" s="4">
        <f t="shared" si="0"/>
        <v>0</v>
      </c>
      <c r="F22" s="4">
        <f>ROUND(146200,2)</f>
        <v>146200</v>
      </c>
      <c r="G22" s="4">
        <f>ROUND(146200,2)</f>
        <v>146200</v>
      </c>
      <c r="H22" s="4">
        <f>ROUND(0,2)</f>
        <v>0</v>
      </c>
      <c r="I22" s="4">
        <f t="shared" si="2"/>
        <v>0</v>
      </c>
      <c r="J22" s="4">
        <f>ROUND(0,2)</f>
        <v>0</v>
      </c>
      <c r="K22" s="4">
        <f t="shared" si="6"/>
        <v>0</v>
      </c>
    </row>
    <row r="23" spans="1:11" ht="36.75">
      <c r="A23" s="2" t="s">
        <v>139</v>
      </c>
      <c r="B23" s="3" t="s">
        <v>115</v>
      </c>
      <c r="C23" s="3" t="s">
        <v>67</v>
      </c>
      <c r="D23" s="4">
        <f>ROUND(0,2)</f>
        <v>0</v>
      </c>
      <c r="E23" s="4">
        <f t="shared" si="0"/>
        <v>0</v>
      </c>
      <c r="F23" s="4">
        <f>ROUND(146200,2)</f>
        <v>146200</v>
      </c>
      <c r="G23" s="4">
        <f>ROUND(146200,2)</f>
        <v>146200</v>
      </c>
      <c r="H23" s="4">
        <f>ROUND(0,2)</f>
        <v>0</v>
      </c>
      <c r="I23" s="4">
        <f t="shared" si="2"/>
        <v>0</v>
      </c>
      <c r="J23" s="4">
        <f>ROUND(0,2)</f>
        <v>0</v>
      </c>
      <c r="K23" s="4">
        <f t="shared" si="6"/>
        <v>0</v>
      </c>
    </row>
    <row r="24" spans="1:11" ht="12.75">
      <c r="A24" s="2" t="s">
        <v>122</v>
      </c>
      <c r="B24" s="3" t="s">
        <v>134</v>
      </c>
      <c r="C24" s="3" t="s">
        <v>49</v>
      </c>
      <c r="D24" s="4">
        <f>ROUND(21483700,2)</f>
        <v>21483700</v>
      </c>
      <c r="E24" s="4">
        <f t="shared" si="0"/>
        <v>0</v>
      </c>
      <c r="F24" s="4">
        <f>ROUND(1062800,2)</f>
        <v>1062800</v>
      </c>
      <c r="G24" s="4">
        <f aca="true" t="shared" si="7" ref="G24:G69">ROUND(0,2)</f>
        <v>0</v>
      </c>
      <c r="H24" s="4">
        <f>ROUND(2287670.44,2)</f>
        <v>2287670.44</v>
      </c>
      <c r="I24" s="4">
        <f t="shared" si="2"/>
        <v>0</v>
      </c>
      <c r="J24" s="4">
        <f>ROUND(96653.16,2)</f>
        <v>96653.16</v>
      </c>
      <c r="K24" s="4">
        <f t="shared" si="6"/>
        <v>0</v>
      </c>
    </row>
    <row r="25" spans="1:11" ht="12.75">
      <c r="A25" s="2" t="s">
        <v>32</v>
      </c>
      <c r="B25" s="3" t="s">
        <v>132</v>
      </c>
      <c r="C25" s="3" t="s">
        <v>51</v>
      </c>
      <c r="D25" s="4">
        <f>ROUND(5500000,2)</f>
        <v>5500000</v>
      </c>
      <c r="E25" s="4">
        <f t="shared" si="0"/>
        <v>0</v>
      </c>
      <c r="F25" s="4">
        <f>ROUND(912800,2)</f>
        <v>912800</v>
      </c>
      <c r="G25" s="4">
        <f t="shared" si="7"/>
        <v>0</v>
      </c>
      <c r="H25" s="4">
        <f>ROUND(765331.44,2)</f>
        <v>765331.44</v>
      </c>
      <c r="I25" s="4">
        <f t="shared" si="2"/>
        <v>0</v>
      </c>
      <c r="J25" s="4">
        <f>ROUND(96653.16,2)</f>
        <v>96653.16</v>
      </c>
      <c r="K25" s="4">
        <f t="shared" si="6"/>
        <v>0</v>
      </c>
    </row>
    <row r="26" spans="1:11" ht="27.75">
      <c r="A26" s="2" t="s">
        <v>164</v>
      </c>
      <c r="B26" s="3" t="s">
        <v>53</v>
      </c>
      <c r="C26" s="3" t="s">
        <v>0</v>
      </c>
      <c r="D26" s="4">
        <f>ROUND(265000,2)</f>
        <v>265000</v>
      </c>
      <c r="E26" s="4">
        <f>ROUND(265000,2)</f>
        <v>265000</v>
      </c>
      <c r="F26" s="4">
        <f aca="true" t="shared" si="8" ref="F26:F31">ROUND(0,2)</f>
        <v>0</v>
      </c>
      <c r="G26" s="4">
        <f t="shared" si="7"/>
        <v>0</v>
      </c>
      <c r="H26" s="4">
        <f>ROUND(0,2)</f>
        <v>0</v>
      </c>
      <c r="I26" s="4">
        <f t="shared" si="2"/>
        <v>0</v>
      </c>
      <c r="J26" s="4">
        <f aca="true" t="shared" si="9" ref="J26:J31">ROUND(0,2)</f>
        <v>0</v>
      </c>
      <c r="K26" s="4">
        <f t="shared" si="6"/>
        <v>0</v>
      </c>
    </row>
    <row r="27" spans="1:11" ht="54.75">
      <c r="A27" s="2" t="s">
        <v>192</v>
      </c>
      <c r="B27" s="3" t="s">
        <v>170</v>
      </c>
      <c r="C27" s="3" t="s">
        <v>25</v>
      </c>
      <c r="D27" s="4">
        <f>ROUND(2304000,2)</f>
        <v>2304000</v>
      </c>
      <c r="E27" s="4">
        <f aca="true" t="shared" si="10" ref="E27:E69">ROUND(0,2)</f>
        <v>0</v>
      </c>
      <c r="F27" s="4">
        <f t="shared" si="8"/>
        <v>0</v>
      </c>
      <c r="G27" s="4">
        <f t="shared" si="7"/>
        <v>0</v>
      </c>
      <c r="H27" s="4">
        <f>ROUND(0,2)</f>
        <v>0</v>
      </c>
      <c r="I27" s="4">
        <f t="shared" si="2"/>
        <v>0</v>
      </c>
      <c r="J27" s="4">
        <f t="shared" si="9"/>
        <v>0</v>
      </c>
      <c r="K27" s="4">
        <f t="shared" si="6"/>
        <v>0</v>
      </c>
    </row>
    <row r="28" spans="1:11" ht="36.75">
      <c r="A28" s="2" t="s">
        <v>73</v>
      </c>
      <c r="B28" s="3" t="s">
        <v>148</v>
      </c>
      <c r="C28" s="3" t="s">
        <v>77</v>
      </c>
      <c r="D28" s="4">
        <f>ROUND(12858000,2)</f>
        <v>12858000</v>
      </c>
      <c r="E28" s="4">
        <f t="shared" si="10"/>
        <v>0</v>
      </c>
      <c r="F28" s="4">
        <f t="shared" si="8"/>
        <v>0</v>
      </c>
      <c r="G28" s="4">
        <f t="shared" si="7"/>
        <v>0</v>
      </c>
      <c r="H28" s="4">
        <f>ROUND(1665444.68,2)</f>
        <v>1665444.68</v>
      </c>
      <c r="I28" s="4">
        <f t="shared" si="2"/>
        <v>0</v>
      </c>
      <c r="J28" s="4">
        <f t="shared" si="9"/>
        <v>0</v>
      </c>
      <c r="K28" s="4">
        <f t="shared" si="6"/>
        <v>0</v>
      </c>
    </row>
    <row r="29" spans="1:11" ht="18.75">
      <c r="A29" s="2" t="s">
        <v>195</v>
      </c>
      <c r="B29" s="3" t="s">
        <v>58</v>
      </c>
      <c r="C29" s="3" t="s">
        <v>90</v>
      </c>
      <c r="D29" s="4">
        <f>ROUND(1867000,2)</f>
        <v>1867000</v>
      </c>
      <c r="E29" s="4">
        <f t="shared" si="10"/>
        <v>0</v>
      </c>
      <c r="F29" s="4">
        <f t="shared" si="8"/>
        <v>0</v>
      </c>
      <c r="G29" s="4">
        <f t="shared" si="7"/>
        <v>0</v>
      </c>
      <c r="H29" s="4">
        <f>ROUND(285840,2)</f>
        <v>285840</v>
      </c>
      <c r="I29" s="4">
        <f t="shared" si="2"/>
        <v>0</v>
      </c>
      <c r="J29" s="4">
        <f t="shared" si="9"/>
        <v>0</v>
      </c>
      <c r="K29" s="4">
        <f t="shared" si="6"/>
        <v>0</v>
      </c>
    </row>
    <row r="30" spans="1:11" ht="12.75">
      <c r="A30" s="2" t="s">
        <v>12</v>
      </c>
      <c r="B30" s="3" t="s">
        <v>126</v>
      </c>
      <c r="C30" s="3" t="s">
        <v>162</v>
      </c>
      <c r="D30" s="4">
        <f>ROUND(2373000,2)</f>
        <v>2373000</v>
      </c>
      <c r="E30" s="4">
        <f t="shared" si="10"/>
        <v>0</v>
      </c>
      <c r="F30" s="4">
        <f t="shared" si="8"/>
        <v>0</v>
      </c>
      <c r="G30" s="4">
        <f t="shared" si="7"/>
        <v>0</v>
      </c>
      <c r="H30" s="4">
        <f>ROUND(302605.68,2)</f>
        <v>302605.68</v>
      </c>
      <c r="I30" s="4">
        <f t="shared" si="2"/>
        <v>0</v>
      </c>
      <c r="J30" s="4">
        <f t="shared" si="9"/>
        <v>0</v>
      </c>
      <c r="K30" s="4">
        <f t="shared" si="6"/>
        <v>0</v>
      </c>
    </row>
    <row r="31" spans="1:11" ht="18.75">
      <c r="A31" s="2" t="s">
        <v>103</v>
      </c>
      <c r="B31" s="3" t="s">
        <v>44</v>
      </c>
      <c r="C31" s="3" t="s">
        <v>106</v>
      </c>
      <c r="D31" s="4">
        <f>ROUND(8618000,2)</f>
        <v>8618000</v>
      </c>
      <c r="E31" s="4">
        <f t="shared" si="10"/>
        <v>0</v>
      </c>
      <c r="F31" s="4">
        <f t="shared" si="8"/>
        <v>0</v>
      </c>
      <c r="G31" s="4">
        <f t="shared" si="7"/>
        <v>0</v>
      </c>
      <c r="H31" s="4">
        <f>ROUND(1076999,2)</f>
        <v>1076999</v>
      </c>
      <c r="I31" s="4">
        <f t="shared" si="2"/>
        <v>0</v>
      </c>
      <c r="J31" s="4">
        <f t="shared" si="9"/>
        <v>0</v>
      </c>
      <c r="K31" s="4">
        <f t="shared" si="6"/>
        <v>0</v>
      </c>
    </row>
    <row r="32" spans="1:11" ht="18.75">
      <c r="A32" s="2" t="s">
        <v>62</v>
      </c>
      <c r="B32" s="3" t="s">
        <v>143</v>
      </c>
      <c r="C32" s="3" t="s">
        <v>176</v>
      </c>
      <c r="D32" s="4">
        <f>ROUND(218374540.98,2)</f>
        <v>218374540.98</v>
      </c>
      <c r="E32" s="4">
        <f t="shared" si="10"/>
        <v>0</v>
      </c>
      <c r="F32" s="4">
        <f>ROUND(60692550.08,2)</f>
        <v>60692550.08</v>
      </c>
      <c r="G32" s="4">
        <f t="shared" si="7"/>
        <v>0</v>
      </c>
      <c r="H32" s="4">
        <f>ROUND(27430057.68,2)</f>
        <v>27430057.68</v>
      </c>
      <c r="I32" s="4">
        <f t="shared" si="2"/>
        <v>0</v>
      </c>
      <c r="J32" s="4">
        <f>ROUND(31571370.69,2)</f>
        <v>31571370.69</v>
      </c>
      <c r="K32" s="4">
        <f t="shared" si="6"/>
        <v>0</v>
      </c>
    </row>
    <row r="33" spans="1:11" ht="18.75">
      <c r="A33" s="2" t="s">
        <v>156</v>
      </c>
      <c r="B33" s="3" t="s">
        <v>60</v>
      </c>
      <c r="C33" s="3" t="s">
        <v>91</v>
      </c>
      <c r="D33" s="4">
        <f>ROUND(52500885.15,2)</f>
        <v>52500885.15</v>
      </c>
      <c r="E33" s="4">
        <f t="shared" si="10"/>
        <v>0</v>
      </c>
      <c r="F33" s="4">
        <f>ROUND(729867.2,2)</f>
        <v>729867.2</v>
      </c>
      <c r="G33" s="4">
        <f t="shared" si="7"/>
        <v>0</v>
      </c>
      <c r="H33" s="4">
        <f>ROUND(3281048.15,2)</f>
        <v>3281048.15</v>
      </c>
      <c r="I33" s="4">
        <f t="shared" si="2"/>
        <v>0</v>
      </c>
      <c r="J33" s="4">
        <f>ROUND(100000,2)</f>
        <v>100000</v>
      </c>
      <c r="K33" s="4">
        <f t="shared" si="6"/>
        <v>0</v>
      </c>
    </row>
    <row r="34" spans="1:11" ht="36.75">
      <c r="A34" s="2" t="s">
        <v>180</v>
      </c>
      <c r="B34" s="3" t="s">
        <v>88</v>
      </c>
      <c r="C34" s="3" t="s">
        <v>65</v>
      </c>
      <c r="D34" s="4">
        <f aca="true" t="shared" si="11" ref="D34:D52">ROUND(0,2)</f>
        <v>0</v>
      </c>
      <c r="E34" s="4">
        <f t="shared" si="10"/>
        <v>0</v>
      </c>
      <c r="F34" s="4">
        <f>ROUND(415567.2,2)</f>
        <v>415567.2</v>
      </c>
      <c r="G34" s="4">
        <f t="shared" si="7"/>
        <v>0</v>
      </c>
      <c r="H34" s="4">
        <f>ROUND(0,2)</f>
        <v>0</v>
      </c>
      <c r="I34" s="4">
        <f t="shared" si="2"/>
        <v>0</v>
      </c>
      <c r="J34" s="4">
        <f>ROUND(0,2)</f>
        <v>0</v>
      </c>
      <c r="K34" s="4">
        <f t="shared" si="6"/>
        <v>0</v>
      </c>
    </row>
    <row r="35" spans="1:11" ht="12.75">
      <c r="A35" s="2" t="s">
        <v>184</v>
      </c>
      <c r="B35" s="3" t="s">
        <v>102</v>
      </c>
      <c r="C35" s="3" t="s">
        <v>107</v>
      </c>
      <c r="D35" s="4">
        <f t="shared" si="11"/>
        <v>0</v>
      </c>
      <c r="E35" s="4">
        <f t="shared" si="10"/>
        <v>0</v>
      </c>
      <c r="F35" s="4">
        <f aca="true" t="shared" si="12" ref="F35:F52">ROUND(0,2)</f>
        <v>0</v>
      </c>
      <c r="G35" s="4">
        <f t="shared" si="7"/>
        <v>0</v>
      </c>
      <c r="H35" s="4">
        <f>ROUND(169088969.63,2)</f>
        <v>169088969.63</v>
      </c>
      <c r="I35" s="4">
        <f t="shared" si="2"/>
        <v>0</v>
      </c>
      <c r="J35" s="4">
        <f>ROUND(36184512.5,2)</f>
        <v>36184512.5</v>
      </c>
      <c r="K35" s="4">
        <f t="shared" si="6"/>
        <v>0</v>
      </c>
    </row>
    <row r="36" spans="1:11" ht="27.75">
      <c r="A36" s="2" t="s">
        <v>144</v>
      </c>
      <c r="B36" s="3" t="s">
        <v>6</v>
      </c>
      <c r="C36" s="3" t="s">
        <v>128</v>
      </c>
      <c r="D36" s="4">
        <f t="shared" si="11"/>
        <v>0</v>
      </c>
      <c r="E36" s="4">
        <f t="shared" si="10"/>
        <v>0</v>
      </c>
      <c r="F36" s="4">
        <f t="shared" si="12"/>
        <v>0</v>
      </c>
      <c r="G36" s="4">
        <f t="shared" si="7"/>
        <v>0</v>
      </c>
      <c r="H36" s="4">
        <f>ROUND(169088969.63,2)</f>
        <v>169088969.63</v>
      </c>
      <c r="I36" s="4">
        <f t="shared" si="2"/>
        <v>0</v>
      </c>
      <c r="J36" s="4">
        <f>ROUND(36184512.5,2)</f>
        <v>36184512.5</v>
      </c>
      <c r="K36" s="4">
        <f t="shared" si="6"/>
        <v>0</v>
      </c>
    </row>
    <row r="37" spans="1:11" ht="27.75">
      <c r="A37" s="2" t="s">
        <v>188</v>
      </c>
      <c r="B37" s="3" t="s">
        <v>68</v>
      </c>
      <c r="C37" s="3" t="s">
        <v>140</v>
      </c>
      <c r="D37" s="4">
        <f t="shared" si="11"/>
        <v>0</v>
      </c>
      <c r="E37" s="4">
        <f t="shared" si="10"/>
        <v>0</v>
      </c>
      <c r="F37" s="4">
        <f t="shared" si="12"/>
        <v>0</v>
      </c>
      <c r="G37" s="4">
        <f t="shared" si="7"/>
        <v>0</v>
      </c>
      <c r="H37" s="4">
        <f>ROUND(169088969.63,2)</f>
        <v>169088969.63</v>
      </c>
      <c r="I37" s="4">
        <f aca="true" t="shared" si="13" ref="I37:I69">ROUND(0,2)</f>
        <v>0</v>
      </c>
      <c r="J37" s="4">
        <f>ROUND(0,2)</f>
        <v>0</v>
      </c>
      <c r="K37" s="4">
        <f t="shared" si="6"/>
        <v>0</v>
      </c>
    </row>
    <row r="38" spans="1:11" ht="18.75">
      <c r="A38" s="2" t="s">
        <v>69</v>
      </c>
      <c r="B38" s="3" t="s">
        <v>187</v>
      </c>
      <c r="C38" s="3" t="s">
        <v>159</v>
      </c>
      <c r="D38" s="4">
        <f t="shared" si="11"/>
        <v>0</v>
      </c>
      <c r="E38" s="4">
        <f t="shared" si="10"/>
        <v>0</v>
      </c>
      <c r="F38" s="4">
        <f t="shared" si="12"/>
        <v>0</v>
      </c>
      <c r="G38" s="4">
        <f t="shared" si="7"/>
        <v>0</v>
      </c>
      <c r="H38" s="4">
        <f>ROUND(0,2)</f>
        <v>0</v>
      </c>
      <c r="I38" s="4">
        <f t="shared" si="13"/>
        <v>0</v>
      </c>
      <c r="J38" s="4">
        <f>ROUND(36184512.5,2)</f>
        <v>36184512.5</v>
      </c>
      <c r="K38" s="4">
        <f t="shared" si="6"/>
        <v>0</v>
      </c>
    </row>
    <row r="39" spans="1:11" ht="18.75">
      <c r="A39" s="2" t="s">
        <v>3</v>
      </c>
      <c r="B39" s="3" t="s">
        <v>42</v>
      </c>
      <c r="C39" s="3" t="s">
        <v>20</v>
      </c>
      <c r="D39" s="4">
        <f t="shared" si="11"/>
        <v>0</v>
      </c>
      <c r="E39" s="4">
        <f t="shared" si="10"/>
        <v>0</v>
      </c>
      <c r="F39" s="4">
        <f t="shared" si="12"/>
        <v>0</v>
      </c>
      <c r="G39" s="4">
        <f t="shared" si="7"/>
        <v>0</v>
      </c>
      <c r="H39" s="4">
        <f>ROUND(39311134.7,2)</f>
        <v>39311134.7</v>
      </c>
      <c r="I39" s="4">
        <f t="shared" si="13"/>
        <v>0</v>
      </c>
      <c r="J39" s="4">
        <f>ROUND(11863426.27,2)</f>
        <v>11863426.27</v>
      </c>
      <c r="K39" s="4">
        <f>ROUND(1003118.11,2)</f>
        <v>1003118.11</v>
      </c>
    </row>
    <row r="40" spans="1:11" ht="18.75">
      <c r="A40" s="2" t="s">
        <v>75</v>
      </c>
      <c r="B40" s="3" t="s">
        <v>119</v>
      </c>
      <c r="C40" s="3" t="s">
        <v>94</v>
      </c>
      <c r="D40" s="4">
        <f t="shared" si="11"/>
        <v>0</v>
      </c>
      <c r="E40" s="4">
        <f t="shared" si="10"/>
        <v>0</v>
      </c>
      <c r="F40" s="4">
        <f t="shared" si="12"/>
        <v>0</v>
      </c>
      <c r="G40" s="4">
        <f t="shared" si="7"/>
        <v>0</v>
      </c>
      <c r="H40" s="4">
        <f>ROUND(35675674.53,2)</f>
        <v>35675674.53</v>
      </c>
      <c r="I40" s="4">
        <f t="shared" si="13"/>
        <v>0</v>
      </c>
      <c r="J40" s="4">
        <f>ROUND(2069439.13,2)</f>
        <v>2069439.13</v>
      </c>
      <c r="K40" s="4">
        <f>ROUND(1003118.11,2)</f>
        <v>1003118.11</v>
      </c>
    </row>
    <row r="41" spans="1:11" ht="18.75">
      <c r="A41" s="2" t="s">
        <v>38</v>
      </c>
      <c r="B41" s="3" t="s">
        <v>181</v>
      </c>
      <c r="C41" s="3" t="s">
        <v>85</v>
      </c>
      <c r="D41" s="4">
        <f t="shared" si="11"/>
        <v>0</v>
      </c>
      <c r="E41" s="4">
        <f t="shared" si="10"/>
        <v>0</v>
      </c>
      <c r="F41" s="4">
        <f t="shared" si="12"/>
        <v>0</v>
      </c>
      <c r="G41" s="4">
        <f t="shared" si="7"/>
        <v>0</v>
      </c>
      <c r="H41" s="4">
        <f>ROUND(1898128.8,2)</f>
        <v>1898128.8</v>
      </c>
      <c r="I41" s="4">
        <f t="shared" si="13"/>
        <v>0</v>
      </c>
      <c r="J41" s="4">
        <f>ROUND(3810411.56,2)</f>
        <v>3810411.56</v>
      </c>
      <c r="K41" s="4">
        <f aca="true" t="shared" si="14" ref="K41:K69">ROUND(0,2)</f>
        <v>0</v>
      </c>
    </row>
    <row r="42" spans="1:11" ht="27.75">
      <c r="A42" s="2" t="s">
        <v>121</v>
      </c>
      <c r="B42" s="3" t="s">
        <v>81</v>
      </c>
      <c r="C42" s="3" t="s">
        <v>150</v>
      </c>
      <c r="D42" s="4">
        <f t="shared" si="11"/>
        <v>0</v>
      </c>
      <c r="E42" s="4">
        <f t="shared" si="10"/>
        <v>0</v>
      </c>
      <c r="F42" s="4">
        <f t="shared" si="12"/>
        <v>0</v>
      </c>
      <c r="G42" s="4">
        <f t="shared" si="7"/>
        <v>0</v>
      </c>
      <c r="H42" s="4">
        <f>ROUND(80000,2)</f>
        <v>80000</v>
      </c>
      <c r="I42" s="4">
        <f t="shared" si="13"/>
        <v>0</v>
      </c>
      <c r="J42" s="4">
        <f>ROUND(380436.23,2)</f>
        <v>380436.23</v>
      </c>
      <c r="K42" s="4">
        <f t="shared" si="14"/>
        <v>0</v>
      </c>
    </row>
    <row r="43" spans="1:11" ht="12.75">
      <c r="A43" s="2" t="s">
        <v>93</v>
      </c>
      <c r="B43" s="3" t="s">
        <v>79</v>
      </c>
      <c r="C43" s="3" t="s">
        <v>37</v>
      </c>
      <c r="D43" s="4">
        <f t="shared" si="11"/>
        <v>0</v>
      </c>
      <c r="E43" s="4">
        <f t="shared" si="10"/>
        <v>0</v>
      </c>
      <c r="F43" s="4">
        <f t="shared" si="12"/>
        <v>0</v>
      </c>
      <c r="G43" s="4">
        <f t="shared" si="7"/>
        <v>0</v>
      </c>
      <c r="H43" s="4">
        <f>ROUND(1329133.43,2)</f>
        <v>1329133.43</v>
      </c>
      <c r="I43" s="4">
        <f t="shared" si="13"/>
        <v>0</v>
      </c>
      <c r="J43" s="4">
        <f>ROUND(2262051.06,2)</f>
        <v>2262051.06</v>
      </c>
      <c r="K43" s="4">
        <f t="shared" si="14"/>
        <v>0</v>
      </c>
    </row>
    <row r="44" spans="1:11" ht="45.75">
      <c r="A44" s="2" t="s">
        <v>105</v>
      </c>
      <c r="B44" s="3" t="s">
        <v>13</v>
      </c>
      <c r="C44" s="3" t="s">
        <v>175</v>
      </c>
      <c r="D44" s="4">
        <f t="shared" si="11"/>
        <v>0</v>
      </c>
      <c r="E44" s="4">
        <f t="shared" si="10"/>
        <v>0</v>
      </c>
      <c r="F44" s="4">
        <f t="shared" si="12"/>
        <v>0</v>
      </c>
      <c r="G44" s="4">
        <f t="shared" si="7"/>
        <v>0</v>
      </c>
      <c r="H44" s="4">
        <f>ROUND(0,2)</f>
        <v>0</v>
      </c>
      <c r="I44" s="4">
        <f t="shared" si="13"/>
        <v>0</v>
      </c>
      <c r="J44" s="4">
        <f>ROUND(240475,2)</f>
        <v>240475</v>
      </c>
      <c r="K44" s="4">
        <f t="shared" si="14"/>
        <v>0</v>
      </c>
    </row>
    <row r="45" spans="1:11" ht="63.75">
      <c r="A45" s="2" t="s">
        <v>172</v>
      </c>
      <c r="B45" s="3" t="s">
        <v>101</v>
      </c>
      <c r="C45" s="3" t="s">
        <v>47</v>
      </c>
      <c r="D45" s="4">
        <f t="shared" si="11"/>
        <v>0</v>
      </c>
      <c r="E45" s="4">
        <f t="shared" si="10"/>
        <v>0</v>
      </c>
      <c r="F45" s="4">
        <f t="shared" si="12"/>
        <v>0</v>
      </c>
      <c r="G45" s="4">
        <f t="shared" si="7"/>
        <v>0</v>
      </c>
      <c r="H45" s="4">
        <f>ROUND(50000,2)</f>
        <v>50000</v>
      </c>
      <c r="I45" s="4">
        <f t="shared" si="13"/>
        <v>0</v>
      </c>
      <c r="J45" s="4">
        <f>ROUND(392073.37,2)</f>
        <v>392073.37</v>
      </c>
      <c r="K45" s="4">
        <f t="shared" si="14"/>
        <v>0</v>
      </c>
    </row>
    <row r="46" spans="1:11" ht="36.75">
      <c r="A46" s="2" t="s">
        <v>78</v>
      </c>
      <c r="B46" s="3" t="s">
        <v>124</v>
      </c>
      <c r="C46" s="3" t="s">
        <v>82</v>
      </c>
      <c r="D46" s="4">
        <f t="shared" si="11"/>
        <v>0</v>
      </c>
      <c r="E46" s="4">
        <f t="shared" si="10"/>
        <v>0</v>
      </c>
      <c r="F46" s="4">
        <f t="shared" si="12"/>
        <v>0</v>
      </c>
      <c r="G46" s="4">
        <f t="shared" si="7"/>
        <v>0</v>
      </c>
      <c r="H46" s="4">
        <f>ROUND(0,2)</f>
        <v>0</v>
      </c>
      <c r="I46" s="4">
        <f t="shared" si="13"/>
        <v>0</v>
      </c>
      <c r="J46" s="4">
        <f>ROUND(10000,2)</f>
        <v>10000</v>
      </c>
      <c r="K46" s="4">
        <f t="shared" si="14"/>
        <v>0</v>
      </c>
    </row>
    <row r="47" spans="1:11" ht="18.75">
      <c r="A47" s="2" t="s">
        <v>152</v>
      </c>
      <c r="B47" s="3" t="s">
        <v>48</v>
      </c>
      <c r="C47" s="3" t="s">
        <v>104</v>
      </c>
      <c r="D47" s="4">
        <f t="shared" si="11"/>
        <v>0</v>
      </c>
      <c r="E47" s="4">
        <f t="shared" si="10"/>
        <v>0</v>
      </c>
      <c r="F47" s="4">
        <f t="shared" si="12"/>
        <v>0</v>
      </c>
      <c r="G47" s="4">
        <f t="shared" si="7"/>
        <v>0</v>
      </c>
      <c r="H47" s="4">
        <f>ROUND(48480.2,2)</f>
        <v>48480.2</v>
      </c>
      <c r="I47" s="4">
        <f t="shared" si="13"/>
        <v>0</v>
      </c>
      <c r="J47" s="4">
        <f>ROUND(39591.26,2)</f>
        <v>39591.26</v>
      </c>
      <c r="K47" s="4">
        <f t="shared" si="14"/>
        <v>0</v>
      </c>
    </row>
    <row r="48" spans="1:11" ht="12.75">
      <c r="A48" s="2" t="s">
        <v>64</v>
      </c>
      <c r="B48" s="3" t="s">
        <v>151</v>
      </c>
      <c r="C48" s="3" t="s">
        <v>46</v>
      </c>
      <c r="D48" s="4">
        <f t="shared" si="11"/>
        <v>0</v>
      </c>
      <c r="E48" s="4">
        <f t="shared" si="10"/>
        <v>0</v>
      </c>
      <c r="F48" s="4">
        <f t="shared" si="12"/>
        <v>0</v>
      </c>
      <c r="G48" s="4">
        <f t="shared" si="7"/>
        <v>0</v>
      </c>
      <c r="H48" s="4">
        <f>ROUND(6514.93,2)</f>
        <v>6514.93</v>
      </c>
      <c r="I48" s="4">
        <f t="shared" si="13"/>
        <v>0</v>
      </c>
      <c r="J48" s="4">
        <f>ROUND(2968.81,2)</f>
        <v>2968.81</v>
      </c>
      <c r="K48" s="4">
        <f t="shared" si="14"/>
        <v>0</v>
      </c>
    </row>
    <row r="49" spans="1:11" ht="18.75">
      <c r="A49" s="2" t="s">
        <v>72</v>
      </c>
      <c r="B49" s="3" t="s">
        <v>154</v>
      </c>
      <c r="C49" s="3" t="s">
        <v>190</v>
      </c>
      <c r="D49" s="4">
        <f t="shared" si="11"/>
        <v>0</v>
      </c>
      <c r="E49" s="4">
        <f t="shared" si="10"/>
        <v>0</v>
      </c>
      <c r="F49" s="4">
        <f t="shared" si="12"/>
        <v>0</v>
      </c>
      <c r="G49" s="4">
        <f t="shared" si="7"/>
        <v>0</v>
      </c>
      <c r="H49" s="4">
        <f>ROUND(301649.5,2)</f>
        <v>301649.5</v>
      </c>
      <c r="I49" s="4">
        <f t="shared" si="13"/>
        <v>0</v>
      </c>
      <c r="J49" s="4">
        <f>ROUND(139607.54,2)</f>
        <v>139607.54</v>
      </c>
      <c r="K49" s="4">
        <f t="shared" si="14"/>
        <v>0</v>
      </c>
    </row>
    <row r="50" spans="1:11" ht="12.75">
      <c r="A50" s="2" t="s">
        <v>157</v>
      </c>
      <c r="B50" s="3" t="s">
        <v>110</v>
      </c>
      <c r="C50" s="3" t="s">
        <v>131</v>
      </c>
      <c r="D50" s="4">
        <f t="shared" si="11"/>
        <v>0</v>
      </c>
      <c r="E50" s="4">
        <f t="shared" si="10"/>
        <v>0</v>
      </c>
      <c r="F50" s="4">
        <f t="shared" si="12"/>
        <v>0</v>
      </c>
      <c r="G50" s="4">
        <f t="shared" si="7"/>
        <v>0</v>
      </c>
      <c r="H50" s="4">
        <f>ROUND(271367.11,2)</f>
        <v>271367.11</v>
      </c>
      <c r="I50" s="4">
        <f t="shared" si="13"/>
        <v>0</v>
      </c>
      <c r="J50" s="4">
        <f>ROUND(93819.03,2)</f>
        <v>93819.03</v>
      </c>
      <c r="K50" s="4">
        <f t="shared" si="14"/>
        <v>0</v>
      </c>
    </row>
    <row r="51" spans="1:11" ht="45.75">
      <c r="A51" s="2" t="s">
        <v>52</v>
      </c>
      <c r="B51" s="3" t="s">
        <v>160</v>
      </c>
      <c r="C51" s="3" t="s">
        <v>166</v>
      </c>
      <c r="D51" s="4">
        <f t="shared" si="11"/>
        <v>0</v>
      </c>
      <c r="E51" s="4">
        <f t="shared" si="10"/>
        <v>0</v>
      </c>
      <c r="F51" s="4">
        <f t="shared" si="12"/>
        <v>0</v>
      </c>
      <c r="G51" s="4">
        <f t="shared" si="7"/>
        <v>0</v>
      </c>
      <c r="H51" s="4">
        <f>ROUND(7403.43,2)</f>
        <v>7403.43</v>
      </c>
      <c r="I51" s="4">
        <f t="shared" si="13"/>
        <v>0</v>
      </c>
      <c r="J51" s="4">
        <f>ROUND(3215,2)</f>
        <v>3215</v>
      </c>
      <c r="K51" s="4">
        <f t="shared" si="14"/>
        <v>0</v>
      </c>
    </row>
    <row r="52" spans="1:11" ht="27.75">
      <c r="A52" s="2" t="s">
        <v>163</v>
      </c>
      <c r="B52" s="3" t="s">
        <v>10</v>
      </c>
      <c r="C52" s="3" t="s">
        <v>66</v>
      </c>
      <c r="D52" s="4">
        <f t="shared" si="11"/>
        <v>0</v>
      </c>
      <c r="E52" s="4">
        <f t="shared" si="10"/>
        <v>0</v>
      </c>
      <c r="F52" s="4">
        <f t="shared" si="12"/>
        <v>0</v>
      </c>
      <c r="G52" s="4">
        <f t="shared" si="7"/>
        <v>0</v>
      </c>
      <c r="H52" s="4">
        <f>ROUND(164793.68,2)</f>
        <v>164793.68</v>
      </c>
      <c r="I52" s="4">
        <f t="shared" si="13"/>
        <v>0</v>
      </c>
      <c r="J52" s="4">
        <f>ROUND(16244.53,2)</f>
        <v>16244.53</v>
      </c>
      <c r="K52" s="4">
        <f t="shared" si="14"/>
        <v>0</v>
      </c>
    </row>
    <row r="53" spans="1:11" ht="45.75">
      <c r="A53" s="2" t="s">
        <v>137</v>
      </c>
      <c r="B53" s="3" t="s">
        <v>129</v>
      </c>
      <c r="C53" s="3" t="s">
        <v>27</v>
      </c>
      <c r="D53" s="4">
        <f>ROUND(216241073.58,2)</f>
        <v>216241073.58</v>
      </c>
      <c r="E53" s="4">
        <f t="shared" si="10"/>
        <v>0</v>
      </c>
      <c r="F53" s="4">
        <f>ROUND(49252874,2)</f>
        <v>49252874</v>
      </c>
      <c r="G53" s="4">
        <f t="shared" si="7"/>
        <v>0</v>
      </c>
      <c r="H53" s="4">
        <f>ROUND(21046649.88,2)</f>
        <v>21046649.88</v>
      </c>
      <c r="I53" s="4">
        <f t="shared" si="13"/>
        <v>0</v>
      </c>
      <c r="J53" s="4">
        <f>ROUND(5071815.08,2)</f>
        <v>5071815.08</v>
      </c>
      <c r="K53" s="4">
        <f t="shared" si="14"/>
        <v>0</v>
      </c>
    </row>
    <row r="54" spans="1:11" ht="12.75">
      <c r="A54" s="2" t="s">
        <v>26</v>
      </c>
      <c r="B54" s="3" t="s">
        <v>179</v>
      </c>
      <c r="C54" s="3" t="s">
        <v>2</v>
      </c>
      <c r="D54" s="4">
        <f>ROUND(186172000,2)</f>
        <v>186172000</v>
      </c>
      <c r="E54" s="4">
        <f t="shared" si="10"/>
        <v>0</v>
      </c>
      <c r="F54" s="4">
        <f>ROUND(11716500,2)</f>
        <v>11716500</v>
      </c>
      <c r="G54" s="4">
        <f t="shared" si="7"/>
        <v>0</v>
      </c>
      <c r="H54" s="4">
        <f>ROUND(17534986.11,2)</f>
        <v>17534986.11</v>
      </c>
      <c r="I54" s="4">
        <f t="shared" si="13"/>
        <v>0</v>
      </c>
      <c r="J54" s="4">
        <f>ROUND(995730.64,2)</f>
        <v>995730.64</v>
      </c>
      <c r="K54" s="4">
        <f t="shared" si="14"/>
        <v>0</v>
      </c>
    </row>
    <row r="55" spans="1:11" ht="12.75">
      <c r="A55" s="2" t="s">
        <v>114</v>
      </c>
      <c r="B55" s="3" t="s">
        <v>7</v>
      </c>
      <c r="C55" s="3" t="s">
        <v>194</v>
      </c>
      <c r="D55" s="4">
        <f>ROUND(2357490,2)</f>
        <v>2357490</v>
      </c>
      <c r="E55" s="4">
        <f t="shared" si="10"/>
        <v>0</v>
      </c>
      <c r="F55" s="4">
        <f>ROUND(14700700,2)</f>
        <v>14700700</v>
      </c>
      <c r="G55" s="4">
        <f t="shared" si="7"/>
        <v>0</v>
      </c>
      <c r="H55" s="4">
        <f>ROUND(232438.42,2)</f>
        <v>232438.42</v>
      </c>
      <c r="I55" s="4">
        <f t="shared" si="13"/>
        <v>0</v>
      </c>
      <c r="J55" s="4">
        <f>ROUND(1644644.21,2)</f>
        <v>1644644.21</v>
      </c>
      <c r="K55" s="4">
        <f t="shared" si="14"/>
        <v>0</v>
      </c>
    </row>
    <row r="56" spans="1:11" ht="12.75">
      <c r="A56" s="2" t="s">
        <v>23</v>
      </c>
      <c r="B56" s="3" t="s">
        <v>196</v>
      </c>
      <c r="C56" s="3" t="s">
        <v>21</v>
      </c>
      <c r="D56" s="4">
        <f>ROUND(27711583.58,2)</f>
        <v>27711583.58</v>
      </c>
      <c r="E56" s="4">
        <f t="shared" si="10"/>
        <v>0</v>
      </c>
      <c r="F56" s="4">
        <f>ROUND(22835674,2)</f>
        <v>22835674</v>
      </c>
      <c r="G56" s="4">
        <f t="shared" si="7"/>
        <v>0</v>
      </c>
      <c r="H56" s="4">
        <f>ROUND(3279225.35,2)</f>
        <v>3279225.35</v>
      </c>
      <c r="I56" s="4">
        <f t="shared" si="13"/>
        <v>0</v>
      </c>
      <c r="J56" s="4">
        <f>ROUND(2431440.23,2)</f>
        <v>2431440.23</v>
      </c>
      <c r="K56" s="4">
        <f t="shared" si="14"/>
        <v>0</v>
      </c>
    </row>
    <row r="57" spans="1:11" ht="12.75">
      <c r="A57" s="2" t="s">
        <v>109</v>
      </c>
      <c r="B57" s="3" t="s">
        <v>5</v>
      </c>
      <c r="C57" s="3" t="s">
        <v>19</v>
      </c>
      <c r="D57" s="4">
        <f>ROUND(65268110,2)</f>
        <v>65268110</v>
      </c>
      <c r="E57" s="4">
        <f t="shared" si="10"/>
        <v>0</v>
      </c>
      <c r="F57" s="4">
        <f>ROUND(14218010,2)</f>
        <v>14218010</v>
      </c>
      <c r="G57" s="4">
        <f t="shared" si="7"/>
        <v>0</v>
      </c>
      <c r="H57" s="4">
        <f>ROUND(7891936.9,2)</f>
        <v>7891936.9</v>
      </c>
      <c r="I57" s="4">
        <f t="shared" si="13"/>
        <v>0</v>
      </c>
      <c r="J57" s="4">
        <f>ROUND(1624926.73,2)</f>
        <v>1624926.73</v>
      </c>
      <c r="K57" s="4">
        <f t="shared" si="14"/>
        <v>0</v>
      </c>
    </row>
    <row r="58" spans="1:11" ht="18.75">
      <c r="A58" s="2" t="s">
        <v>36</v>
      </c>
      <c r="B58" s="3" t="s">
        <v>61</v>
      </c>
      <c r="C58" s="3" t="s">
        <v>169</v>
      </c>
      <c r="D58" s="4">
        <f>ROUND(56519800,2)</f>
        <v>56519800</v>
      </c>
      <c r="E58" s="4">
        <f t="shared" si="10"/>
        <v>0</v>
      </c>
      <c r="F58" s="4">
        <f>ROUND(3540700,2)</f>
        <v>3540700</v>
      </c>
      <c r="G58" s="4">
        <f t="shared" si="7"/>
        <v>0</v>
      </c>
      <c r="H58" s="4">
        <f>ROUND(6578489.94,2)</f>
        <v>6578489.94</v>
      </c>
      <c r="I58" s="4">
        <f t="shared" si="13"/>
        <v>0</v>
      </c>
      <c r="J58" s="4">
        <f>ROUND(555339.56,2)</f>
        <v>555339.56</v>
      </c>
      <c r="K58" s="4">
        <f t="shared" si="14"/>
        <v>0</v>
      </c>
    </row>
    <row r="59" spans="1:11" ht="12.75">
      <c r="A59" s="2" t="s">
        <v>97</v>
      </c>
      <c r="B59" s="3" t="s">
        <v>130</v>
      </c>
      <c r="C59" s="3" t="s">
        <v>194</v>
      </c>
      <c r="D59" s="4">
        <f>ROUND(624610,2)</f>
        <v>624610</v>
      </c>
      <c r="E59" s="4">
        <f t="shared" si="10"/>
        <v>0</v>
      </c>
      <c r="F59" s="4">
        <f>ROUND(3838700,2)</f>
        <v>3838700</v>
      </c>
      <c r="G59" s="4">
        <f t="shared" si="7"/>
        <v>0</v>
      </c>
      <c r="H59" s="4">
        <f>ROUND(136613.37,2)</f>
        <v>136613.37</v>
      </c>
      <c r="I59" s="4">
        <f t="shared" si="13"/>
        <v>0</v>
      </c>
      <c r="J59" s="4">
        <f>ROUND(421204.01,2)</f>
        <v>421204.01</v>
      </c>
      <c r="K59" s="4">
        <f t="shared" si="14"/>
        <v>0</v>
      </c>
    </row>
    <row r="60" spans="1:11" ht="12.75">
      <c r="A60" s="2" t="s">
        <v>56</v>
      </c>
      <c r="B60" s="3" t="s">
        <v>50</v>
      </c>
      <c r="C60" s="3" t="s">
        <v>21</v>
      </c>
      <c r="D60" s="4">
        <f>ROUND(8123700,2)</f>
        <v>8123700</v>
      </c>
      <c r="E60" s="4">
        <f t="shared" si="10"/>
        <v>0</v>
      </c>
      <c r="F60" s="4">
        <f>ROUND(6838610,2)</f>
        <v>6838610</v>
      </c>
      <c r="G60" s="4">
        <f t="shared" si="7"/>
        <v>0</v>
      </c>
      <c r="H60" s="4">
        <f>ROUND(1176833.59,2)</f>
        <v>1176833.59</v>
      </c>
      <c r="I60" s="4">
        <f t="shared" si="13"/>
        <v>0</v>
      </c>
      <c r="J60" s="4">
        <f>ROUND(648383.16,2)</f>
        <v>648383.16</v>
      </c>
      <c r="K60" s="4">
        <f t="shared" si="14"/>
        <v>0</v>
      </c>
    </row>
    <row r="61" spans="1:11" ht="27.75">
      <c r="A61" s="2" t="s">
        <v>22</v>
      </c>
      <c r="B61" s="3" t="s">
        <v>113</v>
      </c>
      <c r="C61" s="3" t="s">
        <v>71</v>
      </c>
      <c r="D61" s="4">
        <f>ROUND(42219410.66,2)</f>
        <v>42219410.66</v>
      </c>
      <c r="E61" s="4">
        <f t="shared" si="10"/>
        <v>0</v>
      </c>
      <c r="F61" s="4">
        <f>ROUND(39675732,2)</f>
        <v>39675732</v>
      </c>
      <c r="G61" s="4">
        <f t="shared" si="7"/>
        <v>0</v>
      </c>
      <c r="H61" s="4">
        <f>ROUND(4832586.05,2)</f>
        <v>4832586.05</v>
      </c>
      <c r="I61" s="4">
        <f t="shared" si="13"/>
        <v>0</v>
      </c>
      <c r="J61" s="4">
        <f>ROUND(4898842.31,2)</f>
        <v>4898842.31</v>
      </c>
      <c r="K61" s="4">
        <f t="shared" si="14"/>
        <v>0</v>
      </c>
    </row>
    <row r="62" spans="1:11" ht="18.75">
      <c r="A62" s="2" t="s">
        <v>108</v>
      </c>
      <c r="B62" s="3" t="s">
        <v>54</v>
      </c>
      <c r="C62" s="3" t="s">
        <v>63</v>
      </c>
      <c r="D62" s="4">
        <f>ROUND(25222700,2)</f>
        <v>25222700</v>
      </c>
      <c r="E62" s="4">
        <f t="shared" si="10"/>
        <v>0</v>
      </c>
      <c r="F62" s="4">
        <f>ROUND(21073400,2)</f>
        <v>21073400</v>
      </c>
      <c r="G62" s="4">
        <f t="shared" si="7"/>
        <v>0</v>
      </c>
      <c r="H62" s="4">
        <f>ROUND(2820197.38,2)</f>
        <v>2820197.38</v>
      </c>
      <c r="I62" s="4">
        <f t="shared" si="13"/>
        <v>0</v>
      </c>
      <c r="J62" s="4">
        <f>ROUND(2191101.56,2)</f>
        <v>2191101.56</v>
      </c>
      <c r="K62" s="4">
        <f t="shared" si="14"/>
        <v>0</v>
      </c>
    </row>
    <row r="63" spans="1:11" ht="12.75">
      <c r="A63" s="2" t="s">
        <v>1</v>
      </c>
      <c r="B63" s="3"/>
      <c r="C63" s="3" t="s">
        <v>183</v>
      </c>
      <c r="D63" s="4">
        <f>ROUND(0,2)</f>
        <v>0</v>
      </c>
      <c r="E63" s="4">
        <f t="shared" si="10"/>
        <v>0</v>
      </c>
      <c r="F63" s="4">
        <f>ROUND(4135300,2)</f>
        <v>4135300</v>
      </c>
      <c r="G63" s="4">
        <f t="shared" si="7"/>
        <v>0</v>
      </c>
      <c r="H63" s="4">
        <f>ROUND(0,2)</f>
        <v>0</v>
      </c>
      <c r="I63" s="4">
        <f t="shared" si="13"/>
        <v>0</v>
      </c>
      <c r="J63" s="4">
        <f>ROUND(396526.48,2)</f>
        <v>396526.48</v>
      </c>
      <c r="K63" s="4">
        <f t="shared" si="14"/>
        <v>0</v>
      </c>
    </row>
    <row r="64" spans="1:11" ht="12.75">
      <c r="A64" s="2" t="s">
        <v>123</v>
      </c>
      <c r="B64" s="3"/>
      <c r="C64" s="3" t="s">
        <v>43</v>
      </c>
      <c r="D64" s="4">
        <f>ROUND(16957200,2)</f>
        <v>16957200</v>
      </c>
      <c r="E64" s="4">
        <f t="shared" si="10"/>
        <v>0</v>
      </c>
      <c r="F64" s="4">
        <f>ROUND(7030614,2)</f>
        <v>7030614</v>
      </c>
      <c r="G64" s="4">
        <f t="shared" si="7"/>
        <v>0</v>
      </c>
      <c r="H64" s="4">
        <f>ROUND(1457886.83,2)</f>
        <v>1457886.83</v>
      </c>
      <c r="I64" s="4">
        <f t="shared" si="13"/>
        <v>0</v>
      </c>
      <c r="J64" s="4">
        <f>ROUND(899110.5,2)</f>
        <v>899110.5</v>
      </c>
      <c r="K64" s="4">
        <f t="shared" si="14"/>
        <v>0</v>
      </c>
    </row>
    <row r="65" spans="1:11" ht="12.75">
      <c r="A65" s="2" t="s">
        <v>35</v>
      </c>
      <c r="B65" s="3"/>
      <c r="C65" s="3" t="s">
        <v>28</v>
      </c>
      <c r="D65" s="4">
        <f>ROUND(8265500,2)</f>
        <v>8265500</v>
      </c>
      <c r="E65" s="4">
        <f t="shared" si="10"/>
        <v>0</v>
      </c>
      <c r="F65" s="4">
        <f>ROUND(9907486,2)</f>
        <v>9907486</v>
      </c>
      <c r="G65" s="4">
        <f t="shared" si="7"/>
        <v>0</v>
      </c>
      <c r="H65" s="4">
        <f>ROUND(1362310.55,2)</f>
        <v>1362310.55</v>
      </c>
      <c r="I65" s="4">
        <f t="shared" si="13"/>
        <v>0</v>
      </c>
      <c r="J65" s="4">
        <f>ROUND(895464.58,2)</f>
        <v>895464.58</v>
      </c>
      <c r="K65" s="4">
        <f t="shared" si="14"/>
        <v>0</v>
      </c>
    </row>
    <row r="66" spans="1:11" ht="18.75">
      <c r="A66" s="2" t="s">
        <v>96</v>
      </c>
      <c r="B66" s="3" t="s">
        <v>147</v>
      </c>
      <c r="C66" s="3" t="s">
        <v>57</v>
      </c>
      <c r="D66" s="4">
        <f>ROUND(7359700,2)</f>
        <v>7359700</v>
      </c>
      <c r="E66" s="4">
        <f t="shared" si="10"/>
        <v>0</v>
      </c>
      <c r="F66" s="4">
        <f>ROUND(6315500,2)</f>
        <v>6315500</v>
      </c>
      <c r="G66" s="4">
        <f t="shared" si="7"/>
        <v>0</v>
      </c>
      <c r="H66" s="4">
        <f>ROUND(1021982.93,2)</f>
        <v>1021982.93</v>
      </c>
      <c r="I66" s="4">
        <f t="shared" si="13"/>
        <v>0</v>
      </c>
      <c r="J66" s="4">
        <f>ROUND(627588.6,2)</f>
        <v>627588.6</v>
      </c>
      <c r="K66" s="4">
        <f t="shared" si="14"/>
        <v>0</v>
      </c>
    </row>
    <row r="67" spans="1:11" ht="12.75">
      <c r="A67" s="2" t="s">
        <v>18</v>
      </c>
      <c r="B67" s="3"/>
      <c r="C67" s="3" t="s">
        <v>183</v>
      </c>
      <c r="D67" s="4">
        <f>ROUND(0,2)</f>
        <v>0</v>
      </c>
      <c r="E67" s="4">
        <f t="shared" si="10"/>
        <v>0</v>
      </c>
      <c r="F67" s="4">
        <f>ROUND(1244900,2)</f>
        <v>1244900</v>
      </c>
      <c r="G67" s="4">
        <f t="shared" si="7"/>
        <v>0</v>
      </c>
      <c r="H67" s="4">
        <f>ROUND(0,2)</f>
        <v>0</v>
      </c>
      <c r="I67" s="4">
        <f t="shared" si="13"/>
        <v>0</v>
      </c>
      <c r="J67" s="4">
        <f>ROUND(83103.27,2)</f>
        <v>83103.27</v>
      </c>
      <c r="K67" s="4">
        <f t="shared" si="14"/>
        <v>0</v>
      </c>
    </row>
    <row r="68" spans="1:11" ht="12.75">
      <c r="A68" s="2" t="s">
        <v>99</v>
      </c>
      <c r="B68" s="3"/>
      <c r="C68" s="3" t="s">
        <v>43</v>
      </c>
      <c r="D68" s="4">
        <f>ROUND(4863600,2)</f>
        <v>4863600</v>
      </c>
      <c r="E68" s="4">
        <f t="shared" si="10"/>
        <v>0</v>
      </c>
      <c r="F68" s="4">
        <f>ROUND(2095986,2)</f>
        <v>2095986</v>
      </c>
      <c r="G68" s="4">
        <f t="shared" si="7"/>
        <v>0</v>
      </c>
      <c r="H68" s="4">
        <f>ROUND(657506.8,2)</f>
        <v>657506.8</v>
      </c>
      <c r="I68" s="4">
        <f t="shared" si="13"/>
        <v>0</v>
      </c>
      <c r="J68" s="4">
        <f>ROUND(282236.25,2)</f>
        <v>282236.25</v>
      </c>
      <c r="K68" s="4">
        <f t="shared" si="14"/>
        <v>0</v>
      </c>
    </row>
    <row r="69" spans="1:11" ht="12.75">
      <c r="A69" s="2" t="s">
        <v>15</v>
      </c>
      <c r="B69" s="3"/>
      <c r="C69" s="3" t="s">
        <v>28</v>
      </c>
      <c r="D69" s="4">
        <f>ROUND(2496100,2)</f>
        <v>2496100</v>
      </c>
      <c r="E69" s="4">
        <f t="shared" si="10"/>
        <v>0</v>
      </c>
      <c r="F69" s="4">
        <f>ROUND(2974614,2)</f>
        <v>2974614</v>
      </c>
      <c r="G69" s="4">
        <f t="shared" si="7"/>
        <v>0</v>
      </c>
      <c r="H69" s="4">
        <f>ROUND(364476.13,2)</f>
        <v>364476.13</v>
      </c>
      <c r="I69" s="4">
        <f t="shared" si="13"/>
        <v>0</v>
      </c>
      <c r="J69" s="4">
        <f>ROUND(262249.08,2)</f>
        <v>262249.08</v>
      </c>
      <c r="K69" s="4">
        <f t="shared" si="14"/>
        <v>0</v>
      </c>
    </row>
    <row r="70" spans="9:11" ht="12.75">
      <c r="I70" s="7"/>
      <c r="J70" s="7"/>
      <c r="K70" s="7"/>
    </row>
    <row r="71" spans="9:11" ht="12.75" customHeight="1">
      <c r="I71" s="7"/>
      <c r="J71" s="7"/>
      <c r="K71" s="7"/>
    </row>
    <row r="72" spans="1:11" ht="12.75">
      <c r="A72" s="5" t="s">
        <v>198</v>
      </c>
      <c r="B72" s="5"/>
      <c r="C72" s="5"/>
      <c r="F72" t="s">
        <v>199</v>
      </c>
      <c r="I72" s="7"/>
      <c r="J72" s="7"/>
      <c r="K72" s="7"/>
    </row>
    <row r="73" spans="9:11" ht="12.75" customHeight="1">
      <c r="I73" s="7"/>
      <c r="J73" s="7"/>
      <c r="K73" s="7"/>
    </row>
    <row r="75" spans="1:6" ht="12.75">
      <c r="A75" s="5" t="s">
        <v>200</v>
      </c>
      <c r="B75" s="5"/>
      <c r="F75" t="s">
        <v>201</v>
      </c>
    </row>
  </sheetData>
  <mergeCells count="18">
    <mergeCell ref="G1:H1"/>
    <mergeCell ref="G2:H2"/>
    <mergeCell ref="G3:H3"/>
    <mergeCell ref="A1:B1"/>
    <mergeCell ref="A2:B2"/>
    <mergeCell ref="A3:B3"/>
    <mergeCell ref="C1:F1"/>
    <mergeCell ref="C2:F2"/>
    <mergeCell ref="C3:F3"/>
    <mergeCell ref="I1:K1"/>
    <mergeCell ref="I2:K2"/>
    <mergeCell ref="I3:K3"/>
    <mergeCell ref="A72:C72"/>
    <mergeCell ref="A75:B75"/>
    <mergeCell ref="I70:K70"/>
    <mergeCell ref="I71:K71"/>
    <mergeCell ref="I72:K72"/>
    <mergeCell ref="I73:K73"/>
  </mergeCells>
  <printOptions gridLines="1"/>
  <pageMargins left="0.75" right="0.33" top="1.12" bottom="0.4166666666666667" header="0.1388888888888889" footer="0.4166666666666667"/>
  <pageSetup horizontalDpi="600" verticalDpi="600" orientation="landscape" paperSize="9" scale="9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2013-03-15T06:27:20Z</cp:lastPrinted>
  <dcterms:created xsi:type="dcterms:W3CDTF">2013-03-15T06:02:06Z</dcterms:created>
  <dcterms:modified xsi:type="dcterms:W3CDTF">2013-03-15T06:27:55Z</dcterms:modified>
  <cp:category/>
  <cp:version/>
  <cp:contentType/>
  <cp:contentStatus/>
</cp:coreProperties>
</file>