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<sst xmlns="http://schemas.openxmlformats.org/spreadsheetml/2006/main" count="111" uniqueCount="103">
  <si>
    <t>18,10</t>
  </si>
  <si>
    <t>ВСЕГО по Новохоперскому району</t>
  </si>
  <si>
    <t>16  16 Муниципальные районы Исполнено</t>
  </si>
  <si>
    <t>00000000000000000226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</si>
  <si>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</si>
  <si>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</si>
  <si>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</si>
  <si>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</si>
  <si>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</si>
  <si>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Пособия по социальной помощи населению</t>
  </si>
  <si>
    <t>00000000000000000222</t>
  </si>
  <si>
    <t>Расходы бюджета - ВСЕГО</t>
  </si>
  <si>
    <t>00000000000000000241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</si>
  <si>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</si>
  <si>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</si>
  <si>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</si>
  <si>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</si>
  <si>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</si>
  <si>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</si>
  <si>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18,18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</si>
  <si>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</si>
  <si>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</si>
  <si>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</si>
  <si>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</si>
  <si>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</si>
  <si>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</si>
  <si>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</si>
  <si>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</si>
  <si>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</si>
  <si>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</si>
  <si>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</si>
  <si>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</si>
  <si>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</si>
  <si>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</si>
  <si>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</si>
  <si>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</si>
  <si>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</si>
  <si>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</si>
  <si>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</si>
  <si>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</si>
  <si>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____________________</t>
  </si>
  <si>
    <t>18,42</t>
  </si>
  <si>
    <t>Оплата труда и начисления на оплату труда</t>
  </si>
  <si>
    <t>Транспортные услуги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</si>
  <si>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</si>
  <si>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</si>
  <si>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</si>
  <si>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</si>
  <si>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</si>
  <si>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</si>
  <si>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</si>
  <si>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</si>
  <si>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</si>
  <si>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Безвозмездные и безвозвратные перечисления государственным и муниципальным организациям</t>
  </si>
  <si>
    <t>00000000000000000223</t>
  </si>
  <si>
    <t>Безвозмездные и безвозвратные перечисления бюджетам</t>
  </si>
  <si>
    <t>00000000000000000263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</si>
  <si>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</si>
  <si>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</si>
  <si>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</si>
  <si>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</si>
  <si>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</si>
  <si>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</si>
  <si>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</si>
  <si>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</si>
  <si>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</si>
  <si>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</si>
  <si>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</si>
  <si>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</si>
  <si>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</si>
  <si>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</si>
  <si>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</si>
  <si>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</si>
  <si>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</si>
  <si>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</si>
  <si>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</si>
  <si>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</si>
  <si>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</si>
  <si>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</si>
  <si>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</si>
  <si>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</si>
  <si>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</si>
  <si>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</si>
  <si>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</si>
  <si>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</si>
  <si>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</si>
  <si>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</si>
  <si>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</si>
  <si>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</si>
  <si>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</si>
  <si>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</si>
  <si>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</si>
  <si>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</si>
  <si>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</si>
  <si>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</si>
  <si>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</si>
  <si>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</si>
  <si>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</si>
  <si>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01.06.2012</t>
  </si>
  <si>
    <t>Начальник отдела финансов</t>
  </si>
  <si>
    <t>Главный бухгалтер</t>
  </si>
  <si>
    <t>Н.И.Сарычева</t>
  </si>
  <si>
    <t>Е.Н.Гусева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</si>
</sst>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workbookViewId="0" topLeftCell="A22">
      <selection activeCell="K37" sqref="K37"/>
    </sheetView>
  </sheetViews>
  <sheetFormatPr defaultColWidth="9.140625" defaultRowHeight="12.75"/>
  <cols>
    <col min="1" max="1" width="7.28125" style="0" customWidth="1"/>
    <col min="2" max="2" width="22.7109375" style="0" customWidth="1"/>
    <col min="3" max="3" width="15.00390625" style="0" customWidth="1"/>
    <col min="4" max="4" width="15.57421875" style="0" customWidth="1"/>
    <col min="5" max="5" width="13.00390625" style="0" customWidth="1"/>
    <col min="6" max="6" width="15.140625" style="0" customWidth="1"/>
    <col min="7" max="7" width="14.28125" style="0" customWidth="1"/>
    <col min="8" max="8" width="15.57421875" style="0" customWidth="1"/>
    <col min="9" max="9" width="14.8515625" style="0" customWidth="1"/>
    <col min="10" max="10" width="15.00390625" style="0" customWidth="1"/>
    <col min="11" max="11" width="14.140625" style="0" customWidth="1"/>
  </cols>
  <sheetData>
    <row r="1" spans="1:11" ht="12.75">
      <c r="A1" s="3"/>
      <c r="B1" s="4"/>
      <c r="C1" s="4"/>
      <c r="D1" s="4"/>
      <c r="E1" s="5" t="s">
        <v>66</v>
      </c>
      <c r="F1" s="4"/>
      <c r="G1" s="4"/>
      <c r="H1" s="4"/>
      <c r="I1" s="6" t="s">
        <v>84</v>
      </c>
      <c r="J1" s="4"/>
      <c r="K1" s="4"/>
    </row>
    <row r="2" spans="1:11" ht="12.75">
      <c r="A2" s="3"/>
      <c r="B2" s="4"/>
      <c r="C2" s="4"/>
      <c r="D2" s="4"/>
      <c r="E2" s="11" t="s">
        <v>98</v>
      </c>
      <c r="F2" s="4"/>
      <c r="G2" s="4"/>
      <c r="H2" s="4"/>
      <c r="I2" s="6" t="s">
        <v>47</v>
      </c>
      <c r="J2" s="4"/>
      <c r="K2" s="4"/>
    </row>
    <row r="3" spans="1:11" ht="12.75">
      <c r="A3" s="3" t="s">
        <v>74</v>
      </c>
      <c r="B3" s="4"/>
      <c r="C3" s="4"/>
      <c r="D3" s="4"/>
      <c r="E3" s="5" t="s">
        <v>1</v>
      </c>
      <c r="F3" s="4"/>
      <c r="G3" s="4"/>
      <c r="H3" s="4"/>
      <c r="I3" s="3" t="s">
        <v>74</v>
      </c>
      <c r="J3" s="4"/>
      <c r="K3" s="4"/>
    </row>
    <row r="4" spans="1:11" ht="72">
      <c r="A4" s="1" t="s">
        <v>20</v>
      </c>
      <c r="B4" s="1" t="s">
        <v>87</v>
      </c>
      <c r="C4" s="1" t="s">
        <v>58</v>
      </c>
      <c r="D4" s="1" t="s">
        <v>46</v>
      </c>
      <c r="E4" s="1" t="s">
        <v>31</v>
      </c>
      <c r="F4" s="1" t="s">
        <v>15</v>
      </c>
      <c r="G4" s="1" t="s">
        <v>33</v>
      </c>
      <c r="H4" s="1" t="s">
        <v>5</v>
      </c>
      <c r="I4" s="1" t="s">
        <v>72</v>
      </c>
      <c r="J4" s="1" t="s">
        <v>2</v>
      </c>
      <c r="K4" s="1" t="s">
        <v>14</v>
      </c>
    </row>
    <row r="5" spans="1:11" ht="38.25">
      <c r="A5" s="2" t="s">
        <v>61</v>
      </c>
      <c r="B5" s="9" t="s">
        <v>88</v>
      </c>
      <c r="C5" s="9" t="s">
        <v>93</v>
      </c>
      <c r="D5" s="10">
        <f>ROUND(952175956.12,2)</f>
        <v>952175956.12</v>
      </c>
      <c r="E5" s="10">
        <f>ROUND(87924978,2)</f>
        <v>87924978</v>
      </c>
      <c r="F5" s="10">
        <f>ROUND(853801855.32,2)</f>
        <v>853801855.32</v>
      </c>
      <c r="G5" s="10">
        <f>ROUND(186299078.8,2)</f>
        <v>186299078.8</v>
      </c>
      <c r="H5" s="10">
        <f>ROUND(310335439.47,2)</f>
        <v>310335439.47</v>
      </c>
      <c r="I5" s="10">
        <f>ROUND(24783653.02,2)</f>
        <v>24783653.02</v>
      </c>
      <c r="J5" s="10">
        <f>ROUND(278819267.51,2)</f>
        <v>278819267.51</v>
      </c>
      <c r="K5" s="10">
        <f>ROUND(56299824.98,2)</f>
        <v>56299824.98</v>
      </c>
    </row>
    <row r="6" spans="1:11" ht="25.5">
      <c r="A6" s="2" t="s">
        <v>13</v>
      </c>
      <c r="B6" s="9" t="s">
        <v>68</v>
      </c>
      <c r="C6" s="9" t="s">
        <v>7</v>
      </c>
      <c r="D6" s="10">
        <f>ROUND(500320069.99,2)</f>
        <v>500320069.99</v>
      </c>
      <c r="E6" s="10">
        <f>ROUND(87924978,2)</f>
        <v>87924978</v>
      </c>
      <c r="F6" s="10">
        <f>ROUND(432746955.19,2)</f>
        <v>432746955.19</v>
      </c>
      <c r="G6" s="10">
        <f>ROUND(155498092.8,2)</f>
        <v>155498092.8</v>
      </c>
      <c r="H6" s="10">
        <f>ROUND(190986279.35,2)</f>
        <v>190986279.35</v>
      </c>
      <c r="I6" s="10">
        <f>ROUND(24783653.02,2)</f>
        <v>24783653.02</v>
      </c>
      <c r="J6" s="10">
        <f>ROUND(166198260.23,2)</f>
        <v>166198260.23</v>
      </c>
      <c r="K6" s="10">
        <f>ROUND(49571672.14,2)</f>
        <v>49571672.14</v>
      </c>
    </row>
    <row r="7" spans="1:11" ht="38.25">
      <c r="A7" s="2" t="s">
        <v>71</v>
      </c>
      <c r="B7" s="9" t="s">
        <v>92</v>
      </c>
      <c r="C7" s="9" t="s">
        <v>42</v>
      </c>
      <c r="D7" s="10">
        <f>ROUND(299366463,2)</f>
        <v>299366463</v>
      </c>
      <c r="E7" s="10">
        <f aca="true" t="shared" si="0" ref="E7:E20">ROUND(0,2)</f>
        <v>0</v>
      </c>
      <c r="F7" s="10">
        <f>ROUND(215371719,2)</f>
        <v>215371719</v>
      </c>
      <c r="G7" s="10">
        <f>ROUND(83994744,2)</f>
        <v>83994744</v>
      </c>
      <c r="H7" s="10">
        <f>ROUND(111745231.25,2)</f>
        <v>111745231.25</v>
      </c>
      <c r="I7" s="10">
        <f aca="true" t="shared" si="1" ref="I7:I20">ROUND(0,2)</f>
        <v>0</v>
      </c>
      <c r="J7" s="10">
        <f>ROUND(81958390.66,2)</f>
        <v>81958390.66</v>
      </c>
      <c r="K7" s="10">
        <f>ROUND(29786840.59,2)</f>
        <v>29786840.59</v>
      </c>
    </row>
    <row r="8" spans="1:11" ht="25.5">
      <c r="A8" s="2" t="s">
        <v>6</v>
      </c>
      <c r="B8" s="9" t="s">
        <v>38</v>
      </c>
      <c r="C8" s="9" t="s">
        <v>22</v>
      </c>
      <c r="D8" s="10">
        <f>ROUND(227236171.37,2)</f>
        <v>227236171.37</v>
      </c>
      <c r="E8" s="10">
        <f t="shared" si="0"/>
        <v>0</v>
      </c>
      <c r="F8" s="10">
        <f>ROUND(162853001.37,2)</f>
        <v>162853001.37</v>
      </c>
      <c r="G8" s="10">
        <f>ROUND(64383170,2)</f>
        <v>64383170</v>
      </c>
      <c r="H8" s="10">
        <f>ROUND(86212610.59,2)</f>
        <v>86212610.59</v>
      </c>
      <c r="I8" s="10">
        <f t="shared" si="1"/>
        <v>0</v>
      </c>
      <c r="J8" s="10">
        <f>ROUND(63047399.02,2)</f>
        <v>63047399.02</v>
      </c>
      <c r="K8" s="10">
        <f>ROUND(23165211.57,2)</f>
        <v>23165211.57</v>
      </c>
    </row>
    <row r="9" spans="1:11" ht="25.5">
      <c r="A9" s="2" t="s">
        <v>50</v>
      </c>
      <c r="B9" s="9" t="s">
        <v>85</v>
      </c>
      <c r="C9" s="9" t="s">
        <v>28</v>
      </c>
      <c r="D9" s="10">
        <f>ROUND(2880040,2)</f>
        <v>2880040</v>
      </c>
      <c r="E9" s="10">
        <f t="shared" si="0"/>
        <v>0</v>
      </c>
      <c r="F9" s="10">
        <f>ROUND(2777040,2)</f>
        <v>2777040</v>
      </c>
      <c r="G9" s="10">
        <f>ROUND(103000,2)</f>
        <v>103000</v>
      </c>
      <c r="H9" s="10">
        <f>ROUND(275170,2)</f>
        <v>275170</v>
      </c>
      <c r="I9" s="10">
        <f t="shared" si="1"/>
        <v>0</v>
      </c>
      <c r="J9" s="10">
        <f>ROUND(241270,2)</f>
        <v>241270</v>
      </c>
      <c r="K9" s="10">
        <f>ROUND(33900,2)</f>
        <v>33900</v>
      </c>
    </row>
    <row r="10" spans="1:11" ht="25.5">
      <c r="A10" s="2" t="s">
        <v>24</v>
      </c>
      <c r="B10" s="9" t="s">
        <v>30</v>
      </c>
      <c r="C10" s="9" t="s">
        <v>82</v>
      </c>
      <c r="D10" s="10">
        <f>ROUND(69250251.63,2)</f>
        <v>69250251.63</v>
      </c>
      <c r="E10" s="10">
        <f t="shared" si="0"/>
        <v>0</v>
      </c>
      <c r="F10" s="10">
        <f>ROUND(49741677.63,2)</f>
        <v>49741677.63</v>
      </c>
      <c r="G10" s="10">
        <f>ROUND(19508574,2)</f>
        <v>19508574</v>
      </c>
      <c r="H10" s="10">
        <f>ROUND(25257450.66,2)</f>
        <v>25257450.66</v>
      </c>
      <c r="I10" s="10">
        <f t="shared" si="1"/>
        <v>0</v>
      </c>
      <c r="J10" s="10">
        <f>ROUND(18669721.64,2)</f>
        <v>18669721.64</v>
      </c>
      <c r="K10" s="10">
        <f>ROUND(6587729.02,2)</f>
        <v>6587729.02</v>
      </c>
    </row>
    <row r="11" spans="1:11" ht="25.5">
      <c r="A11" s="2" t="s">
        <v>67</v>
      </c>
      <c r="B11" s="9" t="s">
        <v>18</v>
      </c>
      <c r="C11" s="9" t="s">
        <v>35</v>
      </c>
      <c r="D11" s="10">
        <f>ROUND(103438034.52,2)</f>
        <v>103438034.52</v>
      </c>
      <c r="E11" s="10">
        <f t="shared" si="0"/>
        <v>0</v>
      </c>
      <c r="F11" s="10">
        <f>ROUND(48375956.72,2)</f>
        <v>48375956.72</v>
      </c>
      <c r="G11" s="10">
        <f>ROUND(55062077.8,2)</f>
        <v>55062077.8</v>
      </c>
      <c r="H11" s="10">
        <f>ROUND(40024046.37,2)</f>
        <v>40024046.37</v>
      </c>
      <c r="I11" s="10">
        <f t="shared" si="1"/>
        <v>0</v>
      </c>
      <c r="J11" s="10">
        <f>ROUND(22939122.55,2)</f>
        <v>22939122.55</v>
      </c>
      <c r="K11" s="10">
        <f>ROUND(17084923.82,2)</f>
        <v>17084923.82</v>
      </c>
    </row>
    <row r="12" spans="1:11" ht="25.5">
      <c r="A12" s="2" t="s">
        <v>26</v>
      </c>
      <c r="B12" s="9" t="s">
        <v>64</v>
      </c>
      <c r="C12" s="9" t="s">
        <v>60</v>
      </c>
      <c r="D12" s="10">
        <f>ROUND(4057518,2)</f>
        <v>4057518</v>
      </c>
      <c r="E12" s="10">
        <f t="shared" si="0"/>
        <v>0</v>
      </c>
      <c r="F12" s="10">
        <f>ROUND(2844600,2)</f>
        <v>2844600</v>
      </c>
      <c r="G12" s="10">
        <f>ROUND(1212918,2)</f>
        <v>1212918</v>
      </c>
      <c r="H12" s="10">
        <f>ROUND(1945210.95,2)</f>
        <v>1945210.95</v>
      </c>
      <c r="I12" s="10">
        <f t="shared" si="1"/>
        <v>0</v>
      </c>
      <c r="J12" s="10">
        <f>ROUND(1435452.01,2)</f>
        <v>1435452.01</v>
      </c>
      <c r="K12" s="10">
        <f>ROUND(509758.94,2)</f>
        <v>509758.94</v>
      </c>
    </row>
    <row r="13" spans="1:11" ht="25.5">
      <c r="A13" s="2" t="s">
        <v>65</v>
      </c>
      <c r="B13" s="9" t="s">
        <v>10</v>
      </c>
      <c r="C13" s="9" t="s">
        <v>43</v>
      </c>
      <c r="D13" s="10">
        <f>ROUND(808544,2)</f>
        <v>808544</v>
      </c>
      <c r="E13" s="10">
        <f t="shared" si="0"/>
        <v>0</v>
      </c>
      <c r="F13" s="10">
        <f>ROUND(219300,2)</f>
        <v>219300</v>
      </c>
      <c r="G13" s="10">
        <f>ROUND(589244,2)</f>
        <v>589244</v>
      </c>
      <c r="H13" s="10">
        <f>ROUND(338306,2)</f>
        <v>338306</v>
      </c>
      <c r="I13" s="10">
        <f t="shared" si="1"/>
        <v>0</v>
      </c>
      <c r="J13" s="10">
        <f>ROUND(127859.06,2)</f>
        <v>127859.06</v>
      </c>
      <c r="K13" s="10">
        <f>ROUND(210446.94,2)</f>
        <v>210446.94</v>
      </c>
    </row>
    <row r="14" spans="1:11" ht="25.5">
      <c r="A14" s="2" t="s">
        <v>0</v>
      </c>
      <c r="B14" s="9" t="s">
        <v>54</v>
      </c>
      <c r="C14" s="9" t="s">
        <v>81</v>
      </c>
      <c r="D14" s="10">
        <f>ROUND(30718685,2)</f>
        <v>30718685</v>
      </c>
      <c r="E14" s="10">
        <f t="shared" si="0"/>
        <v>0</v>
      </c>
      <c r="F14" s="10">
        <f>ROUND(17685838,2)</f>
        <v>17685838</v>
      </c>
      <c r="G14" s="10">
        <f>ROUND(13032847,2)</f>
        <v>13032847</v>
      </c>
      <c r="H14" s="10">
        <f>ROUND(17657630.59,2)</f>
        <v>17657630.59</v>
      </c>
      <c r="I14" s="10">
        <f t="shared" si="1"/>
        <v>0</v>
      </c>
      <c r="J14" s="10">
        <f>ROUND(11325155.58,2)</f>
        <v>11325155.58</v>
      </c>
      <c r="K14" s="10">
        <f>ROUND(6332475.01,2)</f>
        <v>6332475.01</v>
      </c>
    </row>
    <row r="15" spans="1:11" ht="38.25">
      <c r="A15" s="2" t="s">
        <v>57</v>
      </c>
      <c r="B15" s="9" t="s">
        <v>16</v>
      </c>
      <c r="C15" s="9" t="s">
        <v>52</v>
      </c>
      <c r="D15" s="10">
        <f>ROUND(44000,2)</f>
        <v>44000</v>
      </c>
      <c r="E15" s="10">
        <f t="shared" si="0"/>
        <v>0</v>
      </c>
      <c r="F15" s="10">
        <f>ROUND(0,2)</f>
        <v>0</v>
      </c>
      <c r="G15" s="10">
        <f>ROUND(44000,2)</f>
        <v>44000</v>
      </c>
      <c r="H15" s="10">
        <f>ROUND(250,2)</f>
        <v>250</v>
      </c>
      <c r="I15" s="10">
        <f t="shared" si="1"/>
        <v>0</v>
      </c>
      <c r="J15" s="10">
        <f>ROUND(0,2)</f>
        <v>0</v>
      </c>
      <c r="K15" s="10">
        <f>ROUND(250,2)</f>
        <v>250</v>
      </c>
    </row>
    <row r="16" spans="1:11" ht="38.25">
      <c r="A16" s="2" t="s">
        <v>17</v>
      </c>
      <c r="B16" s="9" t="s">
        <v>75</v>
      </c>
      <c r="C16" s="9" t="s">
        <v>86</v>
      </c>
      <c r="D16" s="10">
        <f>ROUND(40657487.49,2)</f>
        <v>40657487.49</v>
      </c>
      <c r="E16" s="10">
        <f t="shared" si="0"/>
        <v>0</v>
      </c>
      <c r="F16" s="10">
        <f>ROUND(11405060,2)</f>
        <v>11405060</v>
      </c>
      <c r="G16" s="10">
        <f>ROUND(29252427.49,2)</f>
        <v>29252427.49</v>
      </c>
      <c r="H16" s="10">
        <f>ROUND(5695005.64,2)</f>
        <v>5695005.64</v>
      </c>
      <c r="I16" s="10">
        <f t="shared" si="1"/>
        <v>0</v>
      </c>
      <c r="J16" s="10">
        <f>ROUND(883012.39,2)</f>
        <v>883012.39</v>
      </c>
      <c r="K16" s="10">
        <f>ROUND(4811993.25,2)</f>
        <v>4811993.25</v>
      </c>
    </row>
    <row r="17" spans="1:11" ht="25.5">
      <c r="A17" s="2" t="s">
        <v>73</v>
      </c>
      <c r="B17" s="9" t="s">
        <v>3</v>
      </c>
      <c r="C17" s="9" t="s">
        <v>79</v>
      </c>
      <c r="D17" s="10">
        <f>ROUND(27151800.03,2)</f>
        <v>27151800.03</v>
      </c>
      <c r="E17" s="10">
        <f t="shared" si="0"/>
        <v>0</v>
      </c>
      <c r="F17" s="10">
        <f>ROUND(16221158.72,2)</f>
        <v>16221158.72</v>
      </c>
      <c r="G17" s="10">
        <f>ROUND(10930641.31,2)</f>
        <v>10930641.31</v>
      </c>
      <c r="H17" s="10">
        <f>ROUND(14387643.19,2)</f>
        <v>14387643.19</v>
      </c>
      <c r="I17" s="10">
        <f t="shared" si="1"/>
        <v>0</v>
      </c>
      <c r="J17" s="10">
        <f>ROUND(9167643.51,2)</f>
        <v>9167643.51</v>
      </c>
      <c r="K17" s="10">
        <f>ROUND(5219999.68,2)</f>
        <v>5219999.68</v>
      </c>
    </row>
    <row r="18" spans="1:11" ht="63.75">
      <c r="A18" s="2" t="s">
        <v>62</v>
      </c>
      <c r="B18" s="9" t="s">
        <v>69</v>
      </c>
      <c r="C18" s="9" t="s">
        <v>44</v>
      </c>
      <c r="D18" s="10">
        <f>ROUND(70673963.72,2)</f>
        <v>70673963.72</v>
      </c>
      <c r="E18" s="10">
        <f t="shared" si="0"/>
        <v>0</v>
      </c>
      <c r="F18" s="10">
        <f>ROUND(58394428.72,2)</f>
        <v>58394428.72</v>
      </c>
      <c r="G18" s="10">
        <f>ROUND(12279535,2)</f>
        <v>12279535</v>
      </c>
      <c r="H18" s="10">
        <f>ROUND(26282745.68,2)</f>
        <v>26282745.68</v>
      </c>
      <c r="I18" s="10">
        <f t="shared" si="1"/>
        <v>0</v>
      </c>
      <c r="J18" s="10">
        <f>ROUND(26282745.68,2)</f>
        <v>26282745.68</v>
      </c>
      <c r="K18" s="10">
        <f>ROUND(0,2)</f>
        <v>0</v>
      </c>
    </row>
    <row r="19" spans="1:11" ht="102">
      <c r="A19" s="2" t="s">
        <v>19</v>
      </c>
      <c r="B19" s="9" t="s">
        <v>12</v>
      </c>
      <c r="C19" s="9" t="s">
        <v>53</v>
      </c>
      <c r="D19" s="10">
        <f>ROUND(57152428.72,2)</f>
        <v>57152428.72</v>
      </c>
      <c r="E19" s="10">
        <f t="shared" si="0"/>
        <v>0</v>
      </c>
      <c r="F19" s="10">
        <f>ROUND(57152428.72,2)</f>
        <v>57152428.72</v>
      </c>
      <c r="G19" s="10">
        <f>ROUND(0,2)</f>
        <v>0</v>
      </c>
      <c r="H19" s="10">
        <f>ROUND(25534745.68,2)</f>
        <v>25534745.68</v>
      </c>
      <c r="I19" s="10">
        <f t="shared" si="1"/>
        <v>0</v>
      </c>
      <c r="J19" s="10">
        <f>ROUND(25534745.68,2)</f>
        <v>25534745.68</v>
      </c>
      <c r="K19" s="10">
        <f>ROUND(0,2)</f>
        <v>0</v>
      </c>
    </row>
    <row r="20" spans="1:11" ht="127.5">
      <c r="A20" s="2" t="s">
        <v>63</v>
      </c>
      <c r="B20" s="9" t="s">
        <v>59</v>
      </c>
      <c r="C20" s="9" t="s">
        <v>45</v>
      </c>
      <c r="D20" s="10">
        <f>ROUND(13521535,2)</f>
        <v>13521535</v>
      </c>
      <c r="E20" s="10">
        <f t="shared" si="0"/>
        <v>0</v>
      </c>
      <c r="F20" s="10">
        <f>ROUND(1242000,2)</f>
        <v>1242000</v>
      </c>
      <c r="G20" s="10">
        <f>ROUND(12279535,2)</f>
        <v>12279535</v>
      </c>
      <c r="H20" s="10">
        <f>ROUND(748000,2)</f>
        <v>748000</v>
      </c>
      <c r="I20" s="10">
        <f t="shared" si="1"/>
        <v>0</v>
      </c>
      <c r="J20" s="10">
        <f>ROUND(748000,2)</f>
        <v>748000</v>
      </c>
      <c r="K20" s="10">
        <f>ROUND(0,2)</f>
        <v>0</v>
      </c>
    </row>
    <row r="21" spans="1:11" ht="63.75">
      <c r="A21" s="2" t="s">
        <v>77</v>
      </c>
      <c r="B21" s="9" t="s">
        <v>95</v>
      </c>
      <c r="C21" s="9" t="s">
        <v>55</v>
      </c>
      <c r="D21" s="10">
        <f>ROUND(0,2)</f>
        <v>0</v>
      </c>
      <c r="E21" s="10">
        <f>ROUND(87924978,2)</f>
        <v>87924978</v>
      </c>
      <c r="F21" s="10">
        <f>ROUND(87924978,2)</f>
        <v>87924978</v>
      </c>
      <c r="G21" s="10">
        <f>ROUND(0,2)</f>
        <v>0</v>
      </c>
      <c r="H21" s="10">
        <f>ROUND(0,2)</f>
        <v>0</v>
      </c>
      <c r="I21" s="10">
        <f>ROUND(24783653.02,2)</f>
        <v>24783653.02</v>
      </c>
      <c r="J21" s="10">
        <f>ROUND(24783653.02,2)</f>
        <v>24783653.02</v>
      </c>
      <c r="K21" s="10">
        <f>ROUND(0,2)</f>
        <v>0</v>
      </c>
    </row>
    <row r="22" spans="1:11" ht="89.25">
      <c r="A22" s="2" t="s">
        <v>34</v>
      </c>
      <c r="B22" s="9" t="s">
        <v>37</v>
      </c>
      <c r="C22" s="9" t="s">
        <v>97</v>
      </c>
      <c r="D22" s="10">
        <f>ROUND(0,2)</f>
        <v>0</v>
      </c>
      <c r="E22" s="10">
        <f>ROUND(87924978,2)</f>
        <v>87924978</v>
      </c>
      <c r="F22" s="10">
        <f>ROUND(87924978,2)</f>
        <v>87924978</v>
      </c>
      <c r="G22" s="10">
        <f>ROUND(0,2)</f>
        <v>0</v>
      </c>
      <c r="H22" s="10">
        <f>ROUND(0,2)</f>
        <v>0</v>
      </c>
      <c r="I22" s="10">
        <f>ROUND(24783653.02,2)</f>
        <v>24783653.02</v>
      </c>
      <c r="J22" s="10">
        <f>ROUND(24783653.02,2)</f>
        <v>24783653.02</v>
      </c>
      <c r="K22" s="10">
        <f>ROUND(0,2)</f>
        <v>0</v>
      </c>
    </row>
    <row r="23" spans="1:11" ht="25.5">
      <c r="A23" s="2" t="s">
        <v>83</v>
      </c>
      <c r="B23" s="9" t="s">
        <v>21</v>
      </c>
      <c r="C23" s="9" t="s">
        <v>27</v>
      </c>
      <c r="D23" s="10">
        <f>ROUND(23551897,2)</f>
        <v>23551897</v>
      </c>
      <c r="E23" s="10">
        <f aca="true" t="shared" si="2" ref="E23:E29">ROUND(0,2)</f>
        <v>0</v>
      </c>
      <c r="F23" s="10">
        <f>ROUND(21523806,2)</f>
        <v>21523806</v>
      </c>
      <c r="G23" s="10">
        <f>ROUND(2028091,2)</f>
        <v>2028091</v>
      </c>
      <c r="H23" s="10">
        <f>ROUND(11437550.19,2)</f>
        <v>11437550.19</v>
      </c>
      <c r="I23" s="10">
        <f aca="true" t="shared" si="3" ref="I23:I29">ROUND(0,2)</f>
        <v>0</v>
      </c>
      <c r="J23" s="10">
        <f>ROUND(9792035.39,2)</f>
        <v>9792035.39</v>
      </c>
      <c r="K23" s="10">
        <f>ROUND(1645514.8,2)</f>
        <v>1645514.8</v>
      </c>
    </row>
    <row r="24" spans="1:11" ht="51">
      <c r="A24" s="2" t="s">
        <v>94</v>
      </c>
      <c r="B24" s="9" t="s">
        <v>8</v>
      </c>
      <c r="C24" s="9" t="s">
        <v>9</v>
      </c>
      <c r="D24" s="10">
        <f>ROUND(19761806,2)</f>
        <v>19761806</v>
      </c>
      <c r="E24" s="10">
        <f t="shared" si="2"/>
        <v>0</v>
      </c>
      <c r="F24" s="10">
        <f>ROUND(19523806,2)</f>
        <v>19523806</v>
      </c>
      <c r="G24" s="10">
        <f>ROUND(238000,2)</f>
        <v>238000</v>
      </c>
      <c r="H24" s="10">
        <f>ROUND(8336757.87,2)</f>
        <v>8336757.87</v>
      </c>
      <c r="I24" s="10">
        <f t="shared" si="3"/>
        <v>0</v>
      </c>
      <c r="J24" s="10">
        <f>ROUND(8148757.87,2)</f>
        <v>8148757.87</v>
      </c>
      <c r="K24" s="10">
        <f>ROUND(188000,2)</f>
        <v>188000</v>
      </c>
    </row>
    <row r="25" spans="1:11" ht="89.25">
      <c r="A25" s="2" t="s">
        <v>36</v>
      </c>
      <c r="B25" s="9" t="s">
        <v>56</v>
      </c>
      <c r="C25" s="9" t="s">
        <v>4</v>
      </c>
      <c r="D25" s="10">
        <f>ROUND(3790091,2)</f>
        <v>3790091</v>
      </c>
      <c r="E25" s="10">
        <f t="shared" si="2"/>
        <v>0</v>
      </c>
      <c r="F25" s="10">
        <f>ROUND(2000000,2)</f>
        <v>2000000</v>
      </c>
      <c r="G25" s="10">
        <f>ROUND(1790091,2)</f>
        <v>1790091</v>
      </c>
      <c r="H25" s="10">
        <f>ROUND(3100792.32,2)</f>
        <v>3100792.32</v>
      </c>
      <c r="I25" s="10">
        <f t="shared" si="3"/>
        <v>0</v>
      </c>
      <c r="J25" s="10">
        <f>ROUND(1643277.52,2)</f>
        <v>1643277.52</v>
      </c>
      <c r="K25" s="10">
        <f>ROUND(1457514.8,2)</f>
        <v>1457514.8</v>
      </c>
    </row>
    <row r="26" spans="1:11" ht="25.5">
      <c r="A26" s="2" t="s">
        <v>91</v>
      </c>
      <c r="B26" s="9" t="s">
        <v>96</v>
      </c>
      <c r="C26" s="9" t="s">
        <v>90</v>
      </c>
      <c r="D26" s="10">
        <f>ROUND(3289711.75,2)</f>
        <v>3289711.75</v>
      </c>
      <c r="E26" s="10">
        <f t="shared" si="2"/>
        <v>0</v>
      </c>
      <c r="F26" s="10">
        <f>ROUND(1156066.75,2)</f>
        <v>1156066.75</v>
      </c>
      <c r="G26" s="10">
        <f>ROUND(2133645,2)</f>
        <v>2133645</v>
      </c>
      <c r="H26" s="10">
        <f>ROUND(1496705.86,2)</f>
        <v>1496705.86</v>
      </c>
      <c r="I26" s="10">
        <f t="shared" si="3"/>
        <v>0</v>
      </c>
      <c r="J26" s="10">
        <f>ROUND(442312.93,2)</f>
        <v>442312.93</v>
      </c>
      <c r="K26" s="10">
        <f>ROUND(1054392.93,2)</f>
        <v>1054392.93</v>
      </c>
    </row>
    <row r="27" spans="1:11" ht="38.25">
      <c r="A27" s="2" t="s">
        <v>39</v>
      </c>
      <c r="B27" s="9" t="s">
        <v>51</v>
      </c>
      <c r="C27" s="9" t="s">
        <v>76</v>
      </c>
      <c r="D27" s="10">
        <f>ROUND(451855886.13,2)</f>
        <v>451855886.13</v>
      </c>
      <c r="E27" s="10">
        <f t="shared" si="2"/>
        <v>0</v>
      </c>
      <c r="F27" s="10">
        <f>ROUND(421054900.13,2)</f>
        <v>421054900.13</v>
      </c>
      <c r="G27" s="10">
        <f>ROUND(30800986,2)</f>
        <v>30800986</v>
      </c>
      <c r="H27" s="10">
        <f>ROUND(119349160.12,2)</f>
        <v>119349160.12</v>
      </c>
      <c r="I27" s="10">
        <f t="shared" si="3"/>
        <v>0</v>
      </c>
      <c r="J27" s="10">
        <f>ROUND(112621007.28,2)</f>
        <v>112621007.28</v>
      </c>
      <c r="K27" s="10">
        <f>ROUND(6728152.84,2)</f>
        <v>6728152.84</v>
      </c>
    </row>
    <row r="28" spans="1:11" ht="51">
      <c r="A28" s="2" t="s">
        <v>49</v>
      </c>
      <c r="B28" s="9" t="s">
        <v>78</v>
      </c>
      <c r="C28" s="9" t="s">
        <v>89</v>
      </c>
      <c r="D28" s="10">
        <f>ROUND(412602911.53,2)</f>
        <v>412602911.53</v>
      </c>
      <c r="E28" s="10">
        <f t="shared" si="2"/>
        <v>0</v>
      </c>
      <c r="F28" s="10">
        <f>ROUND(394056093.53,2)</f>
        <v>394056093.53</v>
      </c>
      <c r="G28" s="10">
        <f>ROUND(18546818,2)</f>
        <v>18546818</v>
      </c>
      <c r="H28" s="10">
        <f>ROUND(103676759.27,2)</f>
        <v>103676759.27</v>
      </c>
      <c r="I28" s="10">
        <f t="shared" si="3"/>
        <v>0</v>
      </c>
      <c r="J28" s="10">
        <f>ROUND(101803134.1,2)</f>
        <v>101803134.1</v>
      </c>
      <c r="K28" s="10">
        <f>ROUND(1873625.17,2)</f>
        <v>1873625.17</v>
      </c>
    </row>
    <row r="29" spans="1:11" ht="51">
      <c r="A29" s="2" t="s">
        <v>23</v>
      </c>
      <c r="B29" s="9" t="s">
        <v>48</v>
      </c>
      <c r="C29" s="9" t="s">
        <v>70</v>
      </c>
      <c r="D29" s="10">
        <f>ROUND(39252974.6,2)</f>
        <v>39252974.6</v>
      </c>
      <c r="E29" s="10">
        <f t="shared" si="2"/>
        <v>0</v>
      </c>
      <c r="F29" s="10">
        <f>ROUND(26998806.6,2)</f>
        <v>26998806.6</v>
      </c>
      <c r="G29" s="10">
        <f>ROUND(12254168,2)</f>
        <v>12254168</v>
      </c>
      <c r="H29" s="10">
        <f>ROUND(15672400.85,2)</f>
        <v>15672400.85</v>
      </c>
      <c r="I29" s="10">
        <f t="shared" si="3"/>
        <v>0</v>
      </c>
      <c r="J29" s="10">
        <f>ROUND(10817873.18,2)</f>
        <v>10817873.18</v>
      </c>
      <c r="K29" s="10">
        <f>ROUND(4854527.67,2)</f>
        <v>4854527.67</v>
      </c>
    </row>
    <row r="30" spans="1:11" ht="38.25">
      <c r="A30" s="2" t="s">
        <v>80</v>
      </c>
      <c r="B30" s="9" t="s">
        <v>32</v>
      </c>
      <c r="C30" s="9" t="s">
        <v>11</v>
      </c>
      <c r="D30" s="10">
        <f>ROUND(952175956.12,2)</f>
        <v>952175956.12</v>
      </c>
      <c r="E30" s="10">
        <f>ROUND(87924978,2)</f>
        <v>87924978</v>
      </c>
      <c r="F30" s="10">
        <f>ROUND(853801855.32,2)</f>
        <v>853801855.32</v>
      </c>
      <c r="G30" s="10">
        <f>ROUND(186299078.8,2)</f>
        <v>186299078.8</v>
      </c>
      <c r="H30" s="10">
        <f>ROUND(310335439.47,2)</f>
        <v>310335439.47</v>
      </c>
      <c r="I30" s="10">
        <f>ROUND(24783653.02,2)</f>
        <v>24783653.02</v>
      </c>
      <c r="J30" s="10">
        <f>ROUND(278819267.51,2)</f>
        <v>278819267.51</v>
      </c>
      <c r="K30" s="10">
        <f>ROUND(56299824.98,2)</f>
        <v>56299824.98</v>
      </c>
    </row>
    <row r="31" spans="1:11" ht="63.75">
      <c r="A31" s="2" t="s">
        <v>41</v>
      </c>
      <c r="B31" s="9" t="s">
        <v>29</v>
      </c>
      <c r="C31" s="9" t="s">
        <v>25</v>
      </c>
      <c r="D31" s="10">
        <f>ROUND(-18317501.63,2)</f>
        <v>-18317501.63</v>
      </c>
      <c r="E31" s="10">
        <f>ROUND(0,2)</f>
        <v>0</v>
      </c>
      <c r="F31" s="10">
        <f>ROUND(-11165281.32,2)</f>
        <v>-11165281.32</v>
      </c>
      <c r="G31" s="10">
        <f>ROUND(-7152220.31,2)</f>
        <v>-7152220.31</v>
      </c>
      <c r="H31" s="10">
        <f>ROUND(40522970.15,2)</f>
        <v>40522970.15</v>
      </c>
      <c r="I31" s="10">
        <f>ROUND(0,2)</f>
        <v>0</v>
      </c>
      <c r="J31" s="10">
        <f>ROUND(27850966.45,2)</f>
        <v>27850966.45</v>
      </c>
      <c r="K31" s="10">
        <f>ROUND(12672003.7,2)</f>
        <v>12672003.7</v>
      </c>
    </row>
    <row r="32" spans="1:11" ht="12.75">
      <c r="A32" s="3" t="s">
        <v>74</v>
      </c>
      <c r="B32" s="4"/>
      <c r="C32" s="4"/>
      <c r="D32" s="4"/>
      <c r="E32" s="3" t="s">
        <v>74</v>
      </c>
      <c r="F32" s="4"/>
      <c r="G32" s="4"/>
      <c r="H32" s="4"/>
      <c r="I32" s="3" t="s">
        <v>74</v>
      </c>
      <c r="J32" s="4"/>
      <c r="K32" s="4"/>
    </row>
    <row r="33" spans="1:11" ht="12.75">
      <c r="A33" s="12" t="s">
        <v>99</v>
      </c>
      <c r="B33" s="4"/>
      <c r="C33" s="4"/>
      <c r="D33" s="4"/>
      <c r="E33" s="8" t="s">
        <v>40</v>
      </c>
      <c r="F33" s="4"/>
      <c r="G33" s="4"/>
      <c r="H33" s="4"/>
      <c r="I33" s="13" t="s">
        <v>102</v>
      </c>
      <c r="J33" s="4"/>
      <c r="K33" s="4"/>
    </row>
    <row r="34" spans="1:11" ht="12.75">
      <c r="A34" s="7" t="s">
        <v>74</v>
      </c>
      <c r="B34" s="4"/>
      <c r="C34" s="4"/>
      <c r="D34" s="4"/>
      <c r="E34" s="7" t="s">
        <v>74</v>
      </c>
      <c r="F34" s="4"/>
      <c r="G34" s="4"/>
      <c r="H34" s="4"/>
      <c r="I34" s="3" t="s">
        <v>74</v>
      </c>
      <c r="J34" s="4"/>
      <c r="K34" s="4"/>
    </row>
    <row r="35" spans="1:11" ht="12.75" customHeight="1">
      <c r="A35" s="12" t="s">
        <v>100</v>
      </c>
      <c r="B35" s="4"/>
      <c r="C35" s="4"/>
      <c r="D35" s="4"/>
      <c r="E35" s="8" t="s">
        <v>40</v>
      </c>
      <c r="F35" s="4"/>
      <c r="G35" s="4"/>
      <c r="H35" s="4"/>
      <c r="I35" s="13" t="s">
        <v>101</v>
      </c>
      <c r="J35" s="4"/>
      <c r="K35" s="4"/>
    </row>
  </sheetData>
  <mergeCells count="21">
    <mergeCell ref="I33:K33"/>
    <mergeCell ref="I34:K34"/>
    <mergeCell ref="I35:K35"/>
    <mergeCell ref="A33:D33"/>
    <mergeCell ref="A34:D34"/>
    <mergeCell ref="A35:D35"/>
    <mergeCell ref="E32:H32"/>
    <mergeCell ref="E33:H33"/>
    <mergeCell ref="E34:H34"/>
    <mergeCell ref="E35:H35"/>
    <mergeCell ref="I1:K1"/>
    <mergeCell ref="I2:K2"/>
    <mergeCell ref="I3:K3"/>
    <mergeCell ref="A32:D32"/>
    <mergeCell ref="I32:K32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81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2012-06-15T04:43:20Z</dcterms:created>
  <dcterms:modified xsi:type="dcterms:W3CDTF">2012-06-15T04:43:20Z</dcterms:modified>
  <cp:category/>
  <cp:version/>
  <cp:contentType/>
  <cp:contentStatus/>
</cp:coreProperties>
</file>